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an.hayter\Downloads\"/>
    </mc:Choice>
  </mc:AlternateContent>
  <xr:revisionPtr revIDLastSave="0" documentId="13_ncr:1_{63020D85-9EA8-42FF-B9FC-BE97DBF861FC}" xr6:coauthVersionLast="47" xr6:coauthVersionMax="47" xr10:uidLastSave="{00000000-0000-0000-0000-000000000000}"/>
  <bookViews>
    <workbookView xWindow="0" yWindow="360" windowWidth="23256" windowHeight="12456" xr2:uid="{71D10D3B-9643-461B-9B1A-397A979C22F1}"/>
  </bookViews>
  <sheets>
    <sheet name="Budget by Code" sheetId="10" r:id="rId1"/>
    <sheet name="Cost Codes INUNWA" sheetId="2" state="hidden" r:id="rId2"/>
    <sheet name="Stock Numbers" sheetId="4" r:id="rId3"/>
    <sheet name="HERD FEED COSTS" sheetId="5" r:id="rId4"/>
    <sheet name="VET &amp; MED Costs" sheetId="6" r:id="rId5"/>
    <sheet name="REVENUE ASSUMPTIONS" sheetId="8" r:id="rId6"/>
    <sheet name="LABOUR" sheetId="9" r:id="rId7"/>
    <sheet name="Inputs " sheetId="12" r:id="rId8"/>
  </sheets>
  <externalReferences>
    <externalReference r:id="rId9"/>
    <externalReference r:id="rId10"/>
    <externalReference r:id="rId11"/>
  </externalReferences>
  <definedNames>
    <definedName name="ENG_BI_CORE_LOCATION">"C:\Program Files (x86)\Sage Evolution\BIC\"</definedName>
    <definedName name="ENG_BI_EXE_FULL_PATH">"C:\Program Files (x86)\Sage Evolution\BIC\BICORE.EXE"</definedName>
    <definedName name="ENG_BI_EXE_NAME" hidden="1">"BICORE.EXE"</definedName>
    <definedName name="ENG_BI_EXEC_CMD_ARGS" hidden="1">"03304607806510411410511904104507303704607512708407308306508709109606708806907006608307708108607809107606908306908403608206908306708108007907104107707408207308807406813413206807008909008107306105713012310411911510512709811710606807008806909109506908606"</definedName>
    <definedName name="ENG_BI_EXEC_CMD_ARGS_10" hidden="1">"11710211310610008610111611608010612310506110109310511811511812311410107811811507107406808110112010206810612309812513209611312209811211009909412410111812006205812912309911711710711510609907410111011011010912011612310611611511908511211510808011009911011"</definedName>
    <definedName name="ENG_BI_EXEC_CMD_ARGS_11" hidden="1">"71161011090620851191171051301231041211171021131061000861011071101151251081151011090681121141121011151210871061091050660840740800860730870760740850690830410830660830670760780780800410760770820740850730681291280951211240991081141000811191111041220991250"</definedName>
    <definedName name="ENG_BI_EXEC_CMD_ARGS_12" hidden="1">"95101118120106112114061059051048057053051048060126124100112121103108114108082105117112115120077101115097112108115082110104106120116105119101109070084118122102126127095116122098117112100079085066081082097114102103110123076109104102111119101104066070106"</definedName>
    <definedName name="ENG_BI_EXEC_CMD_ARGS_13" hidden="1">"11511610113412409611711710211310510808010111411010208310510310912011611012110210007008511512210112912809512112609811211010007411411512010210811708709811611306206806309208411911111212309711303707110611210111903704012906305504110108409810810103607411812"</definedName>
    <definedName name="ENG_BI_EXEC_CMD_ARGS_14" hidden="1">"0117117120110112111096066077072125132102113117107109106104069122116108126125105115115073098114100112106061058058050052064052051130123083087068078091069072085066083069077087066049134"</definedName>
    <definedName name="ENG_BI_EXEC_CMD_ARGS_2" hidden="1">"60730820870820900870920920880770690970810830740830871301231041211141091230981171050680700720650930720770790800620840870760760841251321041121181101190981201010720710850920760830611240981261280951161191051271061161050730670810690830870920790910750620830"</definedName>
    <definedName name="ENG_BI_EXEC_CMD_ARGS_3" hidden="1">"76083066082058054053049068061053063054055052063049058056059058062052059066056060055049054064050063059059053053055060053055059064051057066050048064060054054059053061050068058048053064050054061059053060056068064057059058058052064055057064050059061059054"</definedName>
    <definedName name="ENG_BI_EXEC_CMD_ARGS_4" hidden="1">"06005106005404805606405006206012612310411311810310810910407607408707107108406907006510111413012310411911510512709811710606508908907910407607908208309608407308209007408207007908208309108708309708308508106909708908207308808412612709511611910512710411710"</definedName>
    <definedName name="ENG_BI_EXEC_CMD_ARGS_5" hidden="1">"10740860850840950710840780871040670690890660770830710650880820850790801251320961131191051221021161100740850880840960680830780821000850920760830611240981261280951161191051271061161050700860850830950710840780871020810650920840880840820720660801060620531"</definedName>
    <definedName name="ENG_BI_EXEC_CMD_ARGS_6" hidden="1">"23053115101054048053057125132102113114114119098121101069090084088104067083083079096071079081082079087102084069091087070087061076086083091095082096088082077073088084087069092090126123104113115110118101121101074094084083100068080082078099072079086084080"</definedName>
    <definedName name="ENG_BI_EXEC_CMD_ARGS_7" hidden="1">"07810406906608906507007008307807006912211610911812010511511506712011611011111912612410011211811011810612510106909008508009906708308307810407408007708608007910008508707408208707407707306611609812912309911711411412509811611006608608907909907207908708709"</definedName>
    <definedName name="ENG_BI_EXEC_CMD_ARGS_8" hidden="1">"50710840780780830780990850650920900880790910690620850970570581190571231000540530500531291230991171171071151060990780870800710820690830670810820680650960960960970491291280951211211061181061171020870790910820650920840660860780690720730611270870790960840"</definedName>
    <definedName name="ENG_BI_EXEC_CMD_ARGS_9" hidden="1">"66083084059092074110120110116114110115097051092070114116109121105110122096105075115098115099108078068102134091099103119072080065103104111126117117115079106111102110103110097117102046095070100100115117114121076110125102108102033061067032053130123104121"</definedName>
    <definedName name="ENG_BI_GEN_LIC" hidden="1">"9"</definedName>
    <definedName name="ENG_BI_GEN_LIC_WS" hidden="1">"True"</definedName>
    <definedName name="ENG_BI_LANG_CODE" hidden="1">"en"</definedName>
    <definedName name="ENG_BI_REPOS_FILE" hidden="1">"\\hqsrvr\EvoBICMetaData\alchemex.svd"</definedName>
    <definedName name="ENG_BI_REPOS_PATH" hidden="1">"\\hqsrvr\EvoBICMetaData"</definedName>
    <definedName name="ENG_BI_TLA2" hidden="1">"243;228;250;166;107;209;207;89;118;120;221;63;131;36;180;239;123;139;55;255;172;131;24;115;87;0;51;99;248;233;208;57"</definedName>
    <definedName name="expenses">[1]Sheet2!$B$2:$B$18</definedName>
    <definedName name="INFO_BI_EXE_NAME" hidden="1">"BICORE.EXE"</definedName>
    <definedName name="INFO_EXE_SERVER_PATH" hidden="1">"C:\Program Files (x86)\Sage Evolution\BIC\BICORE.EXE"</definedName>
    <definedName name="INFO_INSTANCE_ID" hidden="1">"0"</definedName>
    <definedName name="INFO_INSTANCE_NAME" hidden="1">"FX Rates_20170814_13_57_47_5757.xls"</definedName>
    <definedName name="INFO_REPORT_CODE" hidden="1">"FX-Rates"</definedName>
    <definedName name="INFO_REPORT_ID" hidden="1">"158"</definedName>
    <definedName name="INFO_REPORT_NAME" hidden="1">"FX Rates"</definedName>
    <definedName name="INFO_RUN_USER" hidden="1">""</definedName>
    <definedName name="INFO_RUN_WORKSTATION" hidden="1">"MPEZA-PC"</definedName>
    <definedName name="Location">#REF!</definedName>
    <definedName name="overheads">[2]Sheet1!$B$1:$B$18</definedName>
    <definedName name="sortfield">[3]Sheet2!$D$3</definedName>
    <definedName name="StartDate">#REF!</definedName>
    <definedName name="SV_AUTO_CONN_CATALOG" hidden="1">"SRLHO"</definedName>
    <definedName name="SV_AUTO_CONN_SERVER" hidden="1">"HQSRVR\SQLEXPRESS"</definedName>
    <definedName name="SV_DBTYPE">"5"</definedName>
    <definedName name="SV_ENCPT_AUTO_CONN_PASSWORD" hidden="1">"083096084083070086098054055119052116100059055049055"</definedName>
    <definedName name="SV_ENCPT_AUTO_CONN_USER" hidden="1">"095094088070084121098"</definedName>
    <definedName name="SV_ENCPT_LOGON_PWD" hidden="1">"078104085088070"</definedName>
    <definedName name="SV_ENCPT_LOGON_USER" hidden="1">"095094088070084071101110107110"</definedName>
    <definedName name="SV_REPORT_CODE">"FX-Rates"</definedName>
    <definedName name="SV_REPORT_ID">"158"</definedName>
    <definedName name="SV_REPORT_NAME">"FX Rates"</definedName>
    <definedName name="SV_REPOSCODE">""</definedName>
    <definedName name="SV_SOLUTION_ID">"33"</definedName>
    <definedName name="SV_TENANT_CODE">"SILVERLANDS RANCHING LIMITED"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0" i="5" l="1"/>
  <c r="J74" i="5"/>
  <c r="D88" i="5"/>
  <c r="J145" i="6"/>
  <c r="D110" i="10"/>
  <c r="E110" i="10"/>
  <c r="F110" i="10"/>
  <c r="G110" i="10"/>
  <c r="H110" i="10"/>
  <c r="I110" i="10"/>
  <c r="J110" i="10"/>
  <c r="K110" i="10"/>
  <c r="L110" i="10"/>
  <c r="M110" i="10"/>
  <c r="N110" i="10"/>
  <c r="C110" i="10"/>
  <c r="I165" i="5"/>
  <c r="F165" i="5"/>
  <c r="E165" i="5"/>
  <c r="D165" i="5"/>
  <c r="Q5" i="9"/>
  <c r="C9" i="9"/>
  <c r="E4" i="9"/>
  <c r="J223" i="4" l="1"/>
  <c r="J222" i="4"/>
  <c r="J220" i="4"/>
  <c r="I218" i="4"/>
  <c r="H218" i="4"/>
  <c r="G218" i="4"/>
  <c r="F218" i="4"/>
  <c r="E218" i="4"/>
  <c r="D218" i="4"/>
  <c r="C218" i="4"/>
  <c r="G217" i="4"/>
  <c r="D217" i="4"/>
  <c r="C217" i="4"/>
  <c r="I216" i="4"/>
  <c r="D216" i="4"/>
  <c r="C216" i="4"/>
  <c r="I215" i="4"/>
  <c r="H215" i="4"/>
  <c r="G215" i="4"/>
  <c r="F215" i="4"/>
  <c r="E215" i="4"/>
  <c r="D215" i="4"/>
  <c r="C215" i="4"/>
  <c r="I214" i="4"/>
  <c r="H214" i="4"/>
  <c r="G214" i="4"/>
  <c r="F214" i="4"/>
  <c r="E214" i="4"/>
  <c r="D214" i="4"/>
  <c r="C214" i="4"/>
  <c r="I213" i="4"/>
  <c r="H213" i="4"/>
  <c r="F213" i="4"/>
  <c r="E213" i="4"/>
  <c r="C213" i="4"/>
  <c r="I212" i="4"/>
  <c r="H212" i="4"/>
  <c r="G212" i="4"/>
  <c r="F212" i="4"/>
  <c r="E212" i="4"/>
  <c r="D212" i="4"/>
  <c r="C212" i="4"/>
  <c r="I210" i="4"/>
  <c r="H210" i="4"/>
  <c r="G210" i="4"/>
  <c r="F210" i="4"/>
  <c r="E210" i="4"/>
  <c r="D210" i="4"/>
  <c r="C210" i="4"/>
  <c r="K9" i="9"/>
  <c r="J218" i="4" l="1"/>
  <c r="J215" i="4"/>
  <c r="J212" i="4"/>
  <c r="J214" i="4"/>
  <c r="J210" i="4"/>
  <c r="N35" i="9" l="1"/>
  <c r="M6" i="9"/>
  <c r="S8" i="10"/>
  <c r="S9" i="10"/>
  <c r="S10" i="10"/>
  <c r="S11" i="10"/>
  <c r="S6" i="10"/>
  <c r="H2" i="8"/>
  <c r="I2" i="8" s="1"/>
  <c r="J2" i="8" s="1"/>
  <c r="K2" i="8" s="1"/>
  <c r="L2" i="8" s="1"/>
  <c r="M2" i="8" s="1"/>
  <c r="N2" i="8" s="1"/>
  <c r="O2" i="8" s="1"/>
  <c r="P2" i="8" s="1"/>
  <c r="Q2" i="8" s="1"/>
  <c r="R2" i="8" s="1"/>
  <c r="A23" i="6"/>
  <c r="A41" i="6" s="1"/>
  <c r="A8" i="6"/>
  <c r="A9" i="6" s="1"/>
  <c r="A30" i="5"/>
  <c r="A47" i="5" s="1"/>
  <c r="A8" i="5"/>
  <c r="A31" i="5" s="1"/>
  <c r="A48" i="5" s="1"/>
  <c r="Y20" i="9"/>
  <c r="W20" i="9"/>
  <c r="U20" i="9"/>
  <c r="S20" i="9"/>
  <c r="Q20" i="9"/>
  <c r="O20" i="9"/>
  <c r="M20" i="9"/>
  <c r="K20" i="9"/>
  <c r="I20" i="9"/>
  <c r="G20" i="9"/>
  <c r="E20" i="9"/>
  <c r="C20" i="9"/>
  <c r="A20" i="9"/>
  <c r="Y19" i="9"/>
  <c r="W19" i="9"/>
  <c r="U19" i="9"/>
  <c r="S19" i="9"/>
  <c r="Q19" i="9"/>
  <c r="O19" i="9"/>
  <c r="M19" i="9"/>
  <c r="K19" i="9"/>
  <c r="I19" i="9"/>
  <c r="G19" i="9"/>
  <c r="E19" i="9"/>
  <c r="C19" i="9"/>
  <c r="A19" i="9"/>
  <c r="Y18" i="9"/>
  <c r="W18" i="9"/>
  <c r="U18" i="9"/>
  <c r="S18" i="9"/>
  <c r="Q18" i="9"/>
  <c r="O18" i="9"/>
  <c r="M18" i="9"/>
  <c r="K18" i="9"/>
  <c r="I18" i="9"/>
  <c r="G18" i="9"/>
  <c r="E18" i="9"/>
  <c r="C18" i="9"/>
  <c r="A18" i="9"/>
  <c r="Y17" i="9"/>
  <c r="W17" i="9"/>
  <c r="U17" i="9"/>
  <c r="S17" i="9"/>
  <c r="Q17" i="9"/>
  <c r="O17" i="9"/>
  <c r="M17" i="9"/>
  <c r="K17" i="9"/>
  <c r="I17" i="9"/>
  <c r="G17" i="9"/>
  <c r="E17" i="9"/>
  <c r="C17" i="9"/>
  <c r="A17" i="9"/>
  <c r="Y16" i="9"/>
  <c r="W16" i="9"/>
  <c r="U16" i="9"/>
  <c r="S16" i="9"/>
  <c r="Q16" i="9"/>
  <c r="O16" i="9"/>
  <c r="M16" i="9"/>
  <c r="K16" i="9"/>
  <c r="I16" i="9"/>
  <c r="G16" i="9"/>
  <c r="E16" i="9"/>
  <c r="C16" i="9"/>
  <c r="A16" i="9"/>
  <c r="Y15" i="9"/>
  <c r="W15" i="9"/>
  <c r="U15" i="9"/>
  <c r="S15" i="9"/>
  <c r="Q15" i="9"/>
  <c r="O15" i="9"/>
  <c r="M15" i="9"/>
  <c r="K15" i="9"/>
  <c r="I15" i="9"/>
  <c r="G15" i="9"/>
  <c r="E15" i="9"/>
  <c r="C15" i="9"/>
  <c r="A15" i="9"/>
  <c r="Y14" i="9"/>
  <c r="W14" i="9"/>
  <c r="U14" i="9"/>
  <c r="S14" i="9"/>
  <c r="Q14" i="9"/>
  <c r="O14" i="9"/>
  <c r="M14" i="9"/>
  <c r="K14" i="9"/>
  <c r="I14" i="9"/>
  <c r="G14" i="9"/>
  <c r="E14" i="9"/>
  <c r="C14" i="9"/>
  <c r="A14" i="9"/>
  <c r="Y13" i="9"/>
  <c r="W13" i="9"/>
  <c r="U13" i="9"/>
  <c r="S13" i="9"/>
  <c r="Q13" i="9"/>
  <c r="O13" i="9"/>
  <c r="M13" i="9"/>
  <c r="K13" i="9"/>
  <c r="I13" i="9"/>
  <c r="G13" i="9"/>
  <c r="E13" i="9"/>
  <c r="C13" i="9"/>
  <c r="A13" i="9"/>
  <c r="Y12" i="9"/>
  <c r="W12" i="9"/>
  <c r="U12" i="9"/>
  <c r="S12" i="9"/>
  <c r="Q12" i="9"/>
  <c r="O12" i="9"/>
  <c r="M12" i="9"/>
  <c r="K12" i="9"/>
  <c r="I12" i="9"/>
  <c r="G12" i="9"/>
  <c r="E12" i="9"/>
  <c r="C12" i="9"/>
  <c r="A12" i="9"/>
  <c r="Y11" i="9"/>
  <c r="W11" i="9"/>
  <c r="U11" i="9"/>
  <c r="S11" i="9"/>
  <c r="Q11" i="9"/>
  <c r="O11" i="9"/>
  <c r="M11" i="9"/>
  <c r="K11" i="9"/>
  <c r="I11" i="9"/>
  <c r="G11" i="9"/>
  <c r="E11" i="9"/>
  <c r="C11" i="9"/>
  <c r="A11" i="9"/>
  <c r="Y10" i="9"/>
  <c r="W10" i="9"/>
  <c r="U10" i="9"/>
  <c r="S10" i="9"/>
  <c r="Q10" i="9"/>
  <c r="O10" i="9"/>
  <c r="M10" i="9"/>
  <c r="K10" i="9"/>
  <c r="I10" i="9"/>
  <c r="G10" i="9"/>
  <c r="E10" i="9"/>
  <c r="C10" i="9"/>
  <c r="A10" i="9"/>
  <c r="Y9" i="9"/>
  <c r="W9" i="9"/>
  <c r="U9" i="9"/>
  <c r="S9" i="9"/>
  <c r="Q9" i="9"/>
  <c r="O9" i="9"/>
  <c r="M9" i="9"/>
  <c r="I9" i="9"/>
  <c r="G9" i="9"/>
  <c r="E9" i="9"/>
  <c r="A9" i="9"/>
  <c r="Y8" i="9"/>
  <c r="W8" i="9"/>
  <c r="U8" i="9"/>
  <c r="S8" i="9"/>
  <c r="Q8" i="9"/>
  <c r="O8" i="9"/>
  <c r="M8" i="9"/>
  <c r="K8" i="9"/>
  <c r="I8" i="9"/>
  <c r="G8" i="9"/>
  <c r="E8" i="9"/>
  <c r="C8" i="9"/>
  <c r="A8" i="9"/>
  <c r="Y7" i="9"/>
  <c r="W7" i="9"/>
  <c r="U7" i="9"/>
  <c r="S7" i="9"/>
  <c r="Q7" i="9"/>
  <c r="O7" i="9"/>
  <c r="M7" i="9"/>
  <c r="K7" i="9"/>
  <c r="I7" i="9"/>
  <c r="G7" i="9"/>
  <c r="E7" i="9"/>
  <c r="C7" i="9"/>
  <c r="A7" i="9"/>
  <c r="W6" i="9"/>
  <c r="U6" i="9"/>
  <c r="S6" i="9"/>
  <c r="Q6" i="9"/>
  <c r="O6" i="9"/>
  <c r="K6" i="9"/>
  <c r="I6" i="9"/>
  <c r="G6" i="9"/>
  <c r="E6" i="9"/>
  <c r="C6" i="9"/>
  <c r="A6" i="9"/>
  <c r="Y5" i="9"/>
  <c r="W5" i="9"/>
  <c r="U5" i="9"/>
  <c r="S5" i="9"/>
  <c r="O5" i="9"/>
  <c r="M5" i="9"/>
  <c r="K5" i="9"/>
  <c r="I5" i="9"/>
  <c r="G5" i="9"/>
  <c r="E5" i="9"/>
  <c r="C5" i="9"/>
  <c r="A5" i="9"/>
  <c r="Y4" i="9"/>
  <c r="W4" i="9"/>
  <c r="U4" i="9"/>
  <c r="S4" i="9"/>
  <c r="Q4" i="9"/>
  <c r="O4" i="9"/>
  <c r="M4" i="9"/>
  <c r="K4" i="9"/>
  <c r="I4" i="9"/>
  <c r="G4" i="9"/>
  <c r="C4" i="9"/>
  <c r="A4" i="9"/>
  <c r="B297" i="6"/>
  <c r="A297" i="6"/>
  <c r="B296" i="6"/>
  <c r="A296" i="6"/>
  <c r="B295" i="6"/>
  <c r="A295" i="6"/>
  <c r="B294" i="6"/>
  <c r="A294" i="6"/>
  <c r="B293" i="6"/>
  <c r="A293" i="6"/>
  <c r="B292" i="6"/>
  <c r="A292" i="6"/>
  <c r="B291" i="6"/>
  <c r="A291" i="6"/>
  <c r="B290" i="6"/>
  <c r="A290" i="6"/>
  <c r="B289" i="6"/>
  <c r="A289" i="6"/>
  <c r="B288" i="6"/>
  <c r="A288" i="6"/>
  <c r="B287" i="6"/>
  <c r="A287" i="6"/>
  <c r="B286" i="6"/>
  <c r="A286" i="6"/>
  <c r="B285" i="6"/>
  <c r="A285" i="6"/>
  <c r="B284" i="6"/>
  <c r="A284" i="6"/>
  <c r="B283" i="6"/>
  <c r="A283" i="6"/>
  <c r="B282" i="6"/>
  <c r="A282" i="6"/>
  <c r="B277" i="6"/>
  <c r="A277" i="6"/>
  <c r="B276" i="6"/>
  <c r="A276" i="6"/>
  <c r="B275" i="6"/>
  <c r="A275" i="6"/>
  <c r="B274" i="6"/>
  <c r="A274" i="6"/>
  <c r="B273" i="6"/>
  <c r="A273" i="6"/>
  <c r="B272" i="6"/>
  <c r="A272" i="6"/>
  <c r="B271" i="6"/>
  <c r="A271" i="6"/>
  <c r="B270" i="6"/>
  <c r="A270" i="6"/>
  <c r="B269" i="6"/>
  <c r="A269" i="6"/>
  <c r="B268" i="6"/>
  <c r="A268" i="6"/>
  <c r="B267" i="6"/>
  <c r="A267" i="6"/>
  <c r="B266" i="6"/>
  <c r="A266" i="6"/>
  <c r="B265" i="6"/>
  <c r="A265" i="6"/>
  <c r="B264" i="6"/>
  <c r="A264" i="6"/>
  <c r="B263" i="6"/>
  <c r="A263" i="6"/>
  <c r="B262" i="6"/>
  <c r="A262" i="6"/>
  <c r="B257" i="6"/>
  <c r="A257" i="6"/>
  <c r="B256" i="6"/>
  <c r="A256" i="6"/>
  <c r="B255" i="6"/>
  <c r="A255" i="6"/>
  <c r="B254" i="6"/>
  <c r="A254" i="6"/>
  <c r="B253" i="6"/>
  <c r="A253" i="6"/>
  <c r="B252" i="6"/>
  <c r="A252" i="6"/>
  <c r="B251" i="6"/>
  <c r="A251" i="6"/>
  <c r="B250" i="6"/>
  <c r="A250" i="6"/>
  <c r="B249" i="6"/>
  <c r="A249" i="6"/>
  <c r="B248" i="6"/>
  <c r="A248" i="6"/>
  <c r="B247" i="6"/>
  <c r="A247" i="6"/>
  <c r="B246" i="6"/>
  <c r="A246" i="6"/>
  <c r="B245" i="6"/>
  <c r="A245" i="6"/>
  <c r="B244" i="6"/>
  <c r="A244" i="6"/>
  <c r="B243" i="6"/>
  <c r="A243" i="6"/>
  <c r="B242" i="6"/>
  <c r="A242" i="6"/>
  <c r="B237" i="6"/>
  <c r="A237" i="6"/>
  <c r="B236" i="6"/>
  <c r="A236" i="6"/>
  <c r="B235" i="6"/>
  <c r="A235" i="6"/>
  <c r="B234" i="6"/>
  <c r="A234" i="6"/>
  <c r="B233" i="6"/>
  <c r="A233" i="6"/>
  <c r="B232" i="6"/>
  <c r="A232" i="6"/>
  <c r="B231" i="6"/>
  <c r="A231" i="6"/>
  <c r="B230" i="6"/>
  <c r="A230" i="6"/>
  <c r="B229" i="6"/>
  <c r="A229" i="6"/>
  <c r="B228" i="6"/>
  <c r="A228" i="6"/>
  <c r="B227" i="6"/>
  <c r="A227" i="6"/>
  <c r="B226" i="6"/>
  <c r="A226" i="6"/>
  <c r="B225" i="6"/>
  <c r="A225" i="6"/>
  <c r="B224" i="6"/>
  <c r="A224" i="6"/>
  <c r="B223" i="6"/>
  <c r="A223" i="6"/>
  <c r="B222" i="6"/>
  <c r="A222" i="6"/>
  <c r="B217" i="6"/>
  <c r="A217" i="6"/>
  <c r="B216" i="6"/>
  <c r="A216" i="6"/>
  <c r="B215" i="6"/>
  <c r="A215" i="6"/>
  <c r="B214" i="6"/>
  <c r="A214" i="6"/>
  <c r="B213" i="6"/>
  <c r="A213" i="6"/>
  <c r="B212" i="6"/>
  <c r="A212" i="6"/>
  <c r="B211" i="6"/>
  <c r="A211" i="6"/>
  <c r="B210" i="6"/>
  <c r="A210" i="6"/>
  <c r="B209" i="6"/>
  <c r="A209" i="6"/>
  <c r="B208" i="6"/>
  <c r="A208" i="6"/>
  <c r="B207" i="6"/>
  <c r="A207" i="6"/>
  <c r="B206" i="6"/>
  <c r="A206" i="6"/>
  <c r="B205" i="6"/>
  <c r="A205" i="6"/>
  <c r="B204" i="6"/>
  <c r="A204" i="6"/>
  <c r="B203" i="6"/>
  <c r="A203" i="6"/>
  <c r="B202" i="6"/>
  <c r="A202" i="6"/>
  <c r="B197" i="6"/>
  <c r="A197" i="6"/>
  <c r="B196" i="6"/>
  <c r="A196" i="6"/>
  <c r="B195" i="6"/>
  <c r="A195" i="6"/>
  <c r="B194" i="6"/>
  <c r="A194" i="6"/>
  <c r="B193" i="6"/>
  <c r="A193" i="6"/>
  <c r="B192" i="6"/>
  <c r="A192" i="6"/>
  <c r="B191" i="6"/>
  <c r="A191" i="6"/>
  <c r="B190" i="6"/>
  <c r="A190" i="6"/>
  <c r="B189" i="6"/>
  <c r="A189" i="6"/>
  <c r="B188" i="6"/>
  <c r="A188" i="6"/>
  <c r="B187" i="6"/>
  <c r="A187" i="6"/>
  <c r="B186" i="6"/>
  <c r="A186" i="6"/>
  <c r="B185" i="6"/>
  <c r="A185" i="6"/>
  <c r="B184" i="6"/>
  <c r="A184" i="6"/>
  <c r="B183" i="6"/>
  <c r="A183" i="6"/>
  <c r="B182" i="6"/>
  <c r="A182" i="6"/>
  <c r="B177" i="6"/>
  <c r="A177" i="6"/>
  <c r="B176" i="6"/>
  <c r="A176" i="6"/>
  <c r="B175" i="6"/>
  <c r="A175" i="6"/>
  <c r="B174" i="6"/>
  <c r="A174" i="6"/>
  <c r="B173" i="6"/>
  <c r="A173" i="6"/>
  <c r="B172" i="6"/>
  <c r="A172" i="6"/>
  <c r="B171" i="6"/>
  <c r="A171" i="6"/>
  <c r="B170" i="6"/>
  <c r="A170" i="6"/>
  <c r="B169" i="6"/>
  <c r="A169" i="6"/>
  <c r="B168" i="6"/>
  <c r="A168" i="6"/>
  <c r="B167" i="6"/>
  <c r="A167" i="6"/>
  <c r="B166" i="6"/>
  <c r="A166" i="6"/>
  <c r="B165" i="6"/>
  <c r="A165" i="6"/>
  <c r="B164" i="6"/>
  <c r="A164" i="6"/>
  <c r="B163" i="6"/>
  <c r="A163" i="6"/>
  <c r="B162" i="6"/>
  <c r="A162" i="6"/>
  <c r="B157" i="6"/>
  <c r="A157" i="6"/>
  <c r="B156" i="6"/>
  <c r="A156" i="6"/>
  <c r="B155" i="6"/>
  <c r="A155" i="6"/>
  <c r="B154" i="6"/>
  <c r="A154" i="6"/>
  <c r="B153" i="6"/>
  <c r="A153" i="6"/>
  <c r="B152" i="6"/>
  <c r="A152" i="6"/>
  <c r="B151" i="6"/>
  <c r="A151" i="6"/>
  <c r="B150" i="6"/>
  <c r="A150" i="6"/>
  <c r="B149" i="6"/>
  <c r="A149" i="6"/>
  <c r="B148" i="6"/>
  <c r="A148" i="6"/>
  <c r="B147" i="6"/>
  <c r="A147" i="6"/>
  <c r="B146" i="6"/>
  <c r="A146" i="6"/>
  <c r="B145" i="6"/>
  <c r="A145" i="6"/>
  <c r="B144" i="6"/>
  <c r="A144" i="6"/>
  <c r="B143" i="6"/>
  <c r="A143" i="6"/>
  <c r="B142" i="6"/>
  <c r="A142" i="6"/>
  <c r="B137" i="6"/>
  <c r="A137" i="6"/>
  <c r="B136" i="6"/>
  <c r="A136" i="6"/>
  <c r="B135" i="6"/>
  <c r="A135" i="6"/>
  <c r="B134" i="6"/>
  <c r="A134" i="6"/>
  <c r="B133" i="6"/>
  <c r="A133" i="6"/>
  <c r="B132" i="6"/>
  <c r="A132" i="6"/>
  <c r="B131" i="6"/>
  <c r="A131" i="6"/>
  <c r="B130" i="6"/>
  <c r="A130" i="6"/>
  <c r="B129" i="6"/>
  <c r="A129" i="6"/>
  <c r="B128" i="6"/>
  <c r="A128" i="6"/>
  <c r="B127" i="6"/>
  <c r="A127" i="6"/>
  <c r="B126" i="6"/>
  <c r="A126" i="6"/>
  <c r="B125" i="6"/>
  <c r="A125" i="6"/>
  <c r="B124" i="6"/>
  <c r="A124" i="6"/>
  <c r="B123" i="6"/>
  <c r="A123" i="6"/>
  <c r="B122" i="6"/>
  <c r="A122" i="6"/>
  <c r="B117" i="6"/>
  <c r="A117" i="6"/>
  <c r="B116" i="6"/>
  <c r="A116" i="6"/>
  <c r="B115" i="6"/>
  <c r="A115" i="6"/>
  <c r="B114" i="6"/>
  <c r="A114" i="6"/>
  <c r="B113" i="6"/>
  <c r="A113" i="6"/>
  <c r="B112" i="6"/>
  <c r="A112" i="6"/>
  <c r="B111" i="6"/>
  <c r="A111" i="6"/>
  <c r="B110" i="6"/>
  <c r="A110" i="6"/>
  <c r="B109" i="6"/>
  <c r="A109" i="6"/>
  <c r="B108" i="6"/>
  <c r="A108" i="6"/>
  <c r="B107" i="6"/>
  <c r="A107" i="6"/>
  <c r="B106" i="6"/>
  <c r="A106" i="6"/>
  <c r="B105" i="6"/>
  <c r="A105" i="6"/>
  <c r="B104" i="6"/>
  <c r="A104" i="6"/>
  <c r="B103" i="6"/>
  <c r="A103" i="6"/>
  <c r="B102" i="6"/>
  <c r="A102" i="6"/>
  <c r="B97" i="6"/>
  <c r="A97" i="6"/>
  <c r="B96" i="6"/>
  <c r="A96" i="6"/>
  <c r="B95" i="6"/>
  <c r="A95" i="6"/>
  <c r="B94" i="6"/>
  <c r="A94" i="6"/>
  <c r="B93" i="6"/>
  <c r="A93" i="6"/>
  <c r="B92" i="6"/>
  <c r="A92" i="6"/>
  <c r="B91" i="6"/>
  <c r="A91" i="6"/>
  <c r="B90" i="6"/>
  <c r="A90" i="6"/>
  <c r="B89" i="6"/>
  <c r="A89" i="6"/>
  <c r="B88" i="6"/>
  <c r="A88" i="6"/>
  <c r="B87" i="6"/>
  <c r="A87" i="6"/>
  <c r="B86" i="6"/>
  <c r="A86" i="6"/>
  <c r="B85" i="6"/>
  <c r="A85" i="6"/>
  <c r="B84" i="6"/>
  <c r="A84" i="6"/>
  <c r="B83" i="6"/>
  <c r="A83" i="6"/>
  <c r="B82" i="6"/>
  <c r="A82" i="6"/>
  <c r="B77" i="6"/>
  <c r="A77" i="6"/>
  <c r="B76" i="6"/>
  <c r="A76" i="6"/>
  <c r="B75" i="6"/>
  <c r="A75" i="6"/>
  <c r="B74" i="6"/>
  <c r="A74" i="6"/>
  <c r="B73" i="6"/>
  <c r="A73" i="6"/>
  <c r="B72" i="6"/>
  <c r="A72" i="6"/>
  <c r="B71" i="6"/>
  <c r="A71" i="6"/>
  <c r="B70" i="6"/>
  <c r="A70" i="6"/>
  <c r="B69" i="6"/>
  <c r="A69" i="6"/>
  <c r="B68" i="6"/>
  <c r="A68" i="6"/>
  <c r="B67" i="6"/>
  <c r="A67" i="6"/>
  <c r="B66" i="6"/>
  <c r="A66" i="6"/>
  <c r="B65" i="6"/>
  <c r="A65" i="6"/>
  <c r="B64" i="6"/>
  <c r="A64" i="6"/>
  <c r="B63" i="6"/>
  <c r="A63" i="6"/>
  <c r="B62" i="6"/>
  <c r="A62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285" i="5"/>
  <c r="A285" i="5"/>
  <c r="B284" i="5"/>
  <c r="A284" i="5"/>
  <c r="B283" i="5"/>
  <c r="A283" i="5"/>
  <c r="B282" i="5"/>
  <c r="A282" i="5"/>
  <c r="B281" i="5"/>
  <c r="A281" i="5"/>
  <c r="B280" i="5"/>
  <c r="A280" i="5"/>
  <c r="B279" i="5"/>
  <c r="A279" i="5"/>
  <c r="B278" i="5"/>
  <c r="A278" i="5"/>
  <c r="B277" i="5"/>
  <c r="A277" i="5"/>
  <c r="B276" i="5"/>
  <c r="A276" i="5"/>
  <c r="B275" i="5"/>
  <c r="A275" i="5"/>
  <c r="B274" i="5"/>
  <c r="A274" i="5"/>
  <c r="B273" i="5"/>
  <c r="A273" i="5"/>
  <c r="B272" i="5"/>
  <c r="A272" i="5"/>
  <c r="B267" i="5"/>
  <c r="A267" i="5"/>
  <c r="B266" i="5"/>
  <c r="A266" i="5"/>
  <c r="B265" i="5"/>
  <c r="A265" i="5"/>
  <c r="B264" i="5"/>
  <c r="A264" i="5"/>
  <c r="B263" i="5"/>
  <c r="A263" i="5"/>
  <c r="B262" i="5"/>
  <c r="A262" i="5"/>
  <c r="B261" i="5"/>
  <c r="A261" i="5"/>
  <c r="B260" i="5"/>
  <c r="A260" i="5"/>
  <c r="B259" i="5"/>
  <c r="A259" i="5"/>
  <c r="B258" i="5"/>
  <c r="A258" i="5"/>
  <c r="B257" i="5"/>
  <c r="A257" i="5"/>
  <c r="B256" i="5"/>
  <c r="A256" i="5"/>
  <c r="B255" i="5"/>
  <c r="A255" i="5"/>
  <c r="B254" i="5"/>
  <c r="A254" i="5"/>
  <c r="B249" i="5"/>
  <c r="A249" i="5"/>
  <c r="B248" i="5"/>
  <c r="A248" i="5"/>
  <c r="B247" i="5"/>
  <c r="A247" i="5"/>
  <c r="B246" i="5"/>
  <c r="A246" i="5"/>
  <c r="B245" i="5"/>
  <c r="A245" i="5"/>
  <c r="B244" i="5"/>
  <c r="A244" i="5"/>
  <c r="B243" i="5"/>
  <c r="A243" i="5"/>
  <c r="B242" i="5"/>
  <c r="A242" i="5"/>
  <c r="B241" i="5"/>
  <c r="A241" i="5"/>
  <c r="B240" i="5"/>
  <c r="A240" i="5"/>
  <c r="B239" i="5"/>
  <c r="A239" i="5"/>
  <c r="B238" i="5"/>
  <c r="A238" i="5"/>
  <c r="B237" i="5"/>
  <c r="A237" i="5"/>
  <c r="B236" i="5"/>
  <c r="A236" i="5"/>
  <c r="B231" i="5"/>
  <c r="A231" i="5"/>
  <c r="B230" i="5"/>
  <c r="A230" i="5"/>
  <c r="B229" i="5"/>
  <c r="A229" i="5"/>
  <c r="B228" i="5"/>
  <c r="A228" i="5"/>
  <c r="B227" i="5"/>
  <c r="A227" i="5"/>
  <c r="B226" i="5"/>
  <c r="A226" i="5"/>
  <c r="B225" i="5"/>
  <c r="A225" i="5"/>
  <c r="B224" i="5"/>
  <c r="A224" i="5"/>
  <c r="B223" i="5"/>
  <c r="A223" i="5"/>
  <c r="B222" i="5"/>
  <c r="A222" i="5"/>
  <c r="B221" i="5"/>
  <c r="A221" i="5"/>
  <c r="B220" i="5"/>
  <c r="A220" i="5"/>
  <c r="B219" i="5"/>
  <c r="A219" i="5"/>
  <c r="B218" i="5"/>
  <c r="A218" i="5"/>
  <c r="B213" i="5"/>
  <c r="A213" i="5"/>
  <c r="B212" i="5"/>
  <c r="A212" i="5"/>
  <c r="B211" i="5"/>
  <c r="A211" i="5"/>
  <c r="B210" i="5"/>
  <c r="A210" i="5"/>
  <c r="B209" i="5"/>
  <c r="A209" i="5"/>
  <c r="B208" i="5"/>
  <c r="A208" i="5"/>
  <c r="B207" i="5"/>
  <c r="A207" i="5"/>
  <c r="B206" i="5"/>
  <c r="A206" i="5"/>
  <c r="B205" i="5"/>
  <c r="A205" i="5"/>
  <c r="B204" i="5"/>
  <c r="A204" i="5"/>
  <c r="B203" i="5"/>
  <c r="A203" i="5"/>
  <c r="B202" i="5"/>
  <c r="A202" i="5"/>
  <c r="B201" i="5"/>
  <c r="A201" i="5"/>
  <c r="B200" i="5"/>
  <c r="A200" i="5"/>
  <c r="B195" i="5"/>
  <c r="A195" i="5"/>
  <c r="B194" i="5"/>
  <c r="A194" i="5"/>
  <c r="B193" i="5"/>
  <c r="A193" i="5"/>
  <c r="B192" i="5"/>
  <c r="A192" i="5"/>
  <c r="B191" i="5"/>
  <c r="A191" i="5"/>
  <c r="B190" i="5"/>
  <c r="A190" i="5"/>
  <c r="B189" i="5"/>
  <c r="A189" i="5"/>
  <c r="B188" i="5"/>
  <c r="A188" i="5"/>
  <c r="B187" i="5"/>
  <c r="A187" i="5"/>
  <c r="B186" i="5"/>
  <c r="A186" i="5"/>
  <c r="B185" i="5"/>
  <c r="A185" i="5"/>
  <c r="B184" i="5"/>
  <c r="A184" i="5"/>
  <c r="B183" i="5"/>
  <c r="A183" i="5"/>
  <c r="B182" i="5"/>
  <c r="A182" i="5"/>
  <c r="B177" i="5"/>
  <c r="A177" i="5"/>
  <c r="B176" i="5"/>
  <c r="A176" i="5"/>
  <c r="B175" i="5"/>
  <c r="A175" i="5"/>
  <c r="B174" i="5"/>
  <c r="A174" i="5"/>
  <c r="B173" i="5"/>
  <c r="A173" i="5"/>
  <c r="B172" i="5"/>
  <c r="A172" i="5"/>
  <c r="B171" i="5"/>
  <c r="A171" i="5"/>
  <c r="B170" i="5"/>
  <c r="A170" i="5"/>
  <c r="B169" i="5"/>
  <c r="A169" i="5"/>
  <c r="B168" i="5"/>
  <c r="A168" i="5"/>
  <c r="B167" i="5"/>
  <c r="A167" i="5"/>
  <c r="B166" i="5"/>
  <c r="A166" i="5"/>
  <c r="B165" i="5"/>
  <c r="A165" i="5"/>
  <c r="B164" i="5"/>
  <c r="A164" i="5"/>
  <c r="B159" i="5"/>
  <c r="A159" i="5"/>
  <c r="B158" i="5"/>
  <c r="A158" i="5"/>
  <c r="B157" i="5"/>
  <c r="A157" i="5"/>
  <c r="B156" i="5"/>
  <c r="A156" i="5"/>
  <c r="B155" i="5"/>
  <c r="A155" i="5"/>
  <c r="B154" i="5"/>
  <c r="A154" i="5"/>
  <c r="B153" i="5"/>
  <c r="A153" i="5"/>
  <c r="B152" i="5"/>
  <c r="A152" i="5"/>
  <c r="B151" i="5"/>
  <c r="A151" i="5"/>
  <c r="B150" i="5"/>
  <c r="A150" i="5"/>
  <c r="B149" i="5"/>
  <c r="A149" i="5"/>
  <c r="B148" i="5"/>
  <c r="A148" i="5"/>
  <c r="B147" i="5"/>
  <c r="A147" i="5"/>
  <c r="B146" i="5"/>
  <c r="A146" i="5"/>
  <c r="B141" i="5"/>
  <c r="A141" i="5"/>
  <c r="B140" i="5"/>
  <c r="A140" i="5"/>
  <c r="B139" i="5"/>
  <c r="A139" i="5"/>
  <c r="B138" i="5"/>
  <c r="A138" i="5"/>
  <c r="B137" i="5"/>
  <c r="A137" i="5"/>
  <c r="B136" i="5"/>
  <c r="A136" i="5"/>
  <c r="B135" i="5"/>
  <c r="A135" i="5"/>
  <c r="B134" i="5"/>
  <c r="A134" i="5"/>
  <c r="B133" i="5"/>
  <c r="A133" i="5"/>
  <c r="B132" i="5"/>
  <c r="A132" i="5"/>
  <c r="B131" i="5"/>
  <c r="A131" i="5"/>
  <c r="B130" i="5"/>
  <c r="A130" i="5"/>
  <c r="B129" i="5"/>
  <c r="A129" i="5"/>
  <c r="B128" i="5"/>
  <c r="A128" i="5"/>
  <c r="B123" i="5"/>
  <c r="A123" i="5"/>
  <c r="B122" i="5"/>
  <c r="A122" i="5"/>
  <c r="B121" i="5"/>
  <c r="A121" i="5"/>
  <c r="B120" i="5"/>
  <c r="A120" i="5"/>
  <c r="B119" i="5"/>
  <c r="A119" i="5"/>
  <c r="B118" i="5"/>
  <c r="A118" i="5"/>
  <c r="B117" i="5"/>
  <c r="A117" i="5"/>
  <c r="B116" i="5"/>
  <c r="A116" i="5"/>
  <c r="B115" i="5"/>
  <c r="A115" i="5"/>
  <c r="B114" i="5"/>
  <c r="A114" i="5"/>
  <c r="B113" i="5"/>
  <c r="A113" i="5"/>
  <c r="B112" i="5"/>
  <c r="A112" i="5"/>
  <c r="B111" i="5"/>
  <c r="A111" i="5"/>
  <c r="B110" i="5"/>
  <c r="A110" i="5"/>
  <c r="B105" i="5"/>
  <c r="A105" i="5"/>
  <c r="B104" i="5"/>
  <c r="A104" i="5"/>
  <c r="B103" i="5"/>
  <c r="A103" i="5"/>
  <c r="B102" i="5"/>
  <c r="A102" i="5"/>
  <c r="B101" i="5"/>
  <c r="A101" i="5"/>
  <c r="B100" i="5"/>
  <c r="A100" i="5"/>
  <c r="B99" i="5"/>
  <c r="A99" i="5"/>
  <c r="B98" i="5"/>
  <c r="A98" i="5"/>
  <c r="B97" i="5"/>
  <c r="A97" i="5"/>
  <c r="B96" i="5"/>
  <c r="A96" i="5"/>
  <c r="B95" i="5"/>
  <c r="A95" i="5"/>
  <c r="B94" i="5"/>
  <c r="A94" i="5"/>
  <c r="B93" i="5"/>
  <c r="A93" i="5"/>
  <c r="B92" i="5"/>
  <c r="A92" i="5"/>
  <c r="B87" i="5"/>
  <c r="A87" i="5"/>
  <c r="B86" i="5"/>
  <c r="A86" i="5"/>
  <c r="B85" i="5"/>
  <c r="A85" i="5"/>
  <c r="B84" i="5"/>
  <c r="A84" i="5"/>
  <c r="B83" i="5"/>
  <c r="A83" i="5"/>
  <c r="B82" i="5"/>
  <c r="A82" i="5"/>
  <c r="B81" i="5"/>
  <c r="A81" i="5"/>
  <c r="B80" i="5"/>
  <c r="A80" i="5"/>
  <c r="B79" i="5"/>
  <c r="A79" i="5"/>
  <c r="B78" i="5"/>
  <c r="A78" i="5"/>
  <c r="B77" i="5"/>
  <c r="A77" i="5"/>
  <c r="B76" i="5"/>
  <c r="A76" i="5"/>
  <c r="B75" i="5"/>
  <c r="A75" i="5"/>
  <c r="B74" i="5"/>
  <c r="A74" i="5"/>
  <c r="U26" i="12"/>
  <c r="S203" i="10"/>
  <c r="J6" i="4"/>
  <c r="A24" i="6" l="1"/>
  <c r="A42" i="6" s="1"/>
  <c r="A25" i="6"/>
  <c r="A43" i="6" s="1"/>
  <c r="A10" i="6"/>
  <c r="A9" i="5"/>
  <c r="M3" i="4"/>
  <c r="A11" i="6" l="1"/>
  <c r="A26" i="6"/>
  <c r="A44" i="6" s="1"/>
  <c r="A10" i="5"/>
  <c r="A32" i="5"/>
  <c r="A49" i="5" s="1"/>
  <c r="I9" i="4"/>
  <c r="D9" i="4"/>
  <c r="A12" i="6" l="1"/>
  <c r="A27" i="6"/>
  <c r="A45" i="6" s="1"/>
  <c r="A11" i="5"/>
  <c r="A33" i="5"/>
  <c r="A50" i="5" s="1"/>
  <c r="C9" i="4"/>
  <c r="H9" i="4"/>
  <c r="G9" i="4"/>
  <c r="F9" i="4"/>
  <c r="E9" i="4"/>
  <c r="O139" i="10"/>
  <c r="O140" i="10"/>
  <c r="I232" i="6"/>
  <c r="H232" i="6"/>
  <c r="F232" i="6"/>
  <c r="A13" i="6" l="1"/>
  <c r="A28" i="6"/>
  <c r="A46" i="6" s="1"/>
  <c r="A12" i="5"/>
  <c r="A34" i="5"/>
  <c r="A51" i="5" s="1"/>
  <c r="O18" i="10"/>
  <c r="O20" i="10"/>
  <c r="O21" i="10"/>
  <c r="O23" i="10"/>
  <c r="O29" i="10"/>
  <c r="O30" i="10"/>
  <c r="O32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6" i="10"/>
  <c r="O37" i="10"/>
  <c r="O38" i="10"/>
  <c r="O39" i="10"/>
  <c r="O40" i="10"/>
  <c r="O41" i="10"/>
  <c r="O42" i="10"/>
  <c r="O43" i="10"/>
  <c r="C44" i="10"/>
  <c r="F44" i="10"/>
  <c r="G44" i="10"/>
  <c r="H44" i="10"/>
  <c r="J44" i="10"/>
  <c r="O45" i="10"/>
  <c r="L44" i="10"/>
  <c r="N44" i="10"/>
  <c r="E44" i="10"/>
  <c r="I44" i="10"/>
  <c r="M44" i="10"/>
  <c r="O47" i="10"/>
  <c r="O53" i="10"/>
  <c r="O59" i="10"/>
  <c r="O60" i="10"/>
  <c r="O61" i="10"/>
  <c r="O62" i="10"/>
  <c r="O63" i="10"/>
  <c r="O64" i="10"/>
  <c r="O65" i="10"/>
  <c r="O68" i="10"/>
  <c r="C69" i="10"/>
  <c r="D69" i="10"/>
  <c r="E69" i="10"/>
  <c r="F69" i="10"/>
  <c r="G69" i="10"/>
  <c r="H69" i="10"/>
  <c r="I69" i="10"/>
  <c r="J69" i="10"/>
  <c r="K69" i="10"/>
  <c r="L69" i="10"/>
  <c r="M69" i="10"/>
  <c r="N69" i="10"/>
  <c r="O70" i="10"/>
  <c r="O71" i="10"/>
  <c r="O72" i="10"/>
  <c r="O73" i="10"/>
  <c r="O74" i="10"/>
  <c r="O75" i="10"/>
  <c r="O76" i="10"/>
  <c r="O77" i="10"/>
  <c r="C79" i="10"/>
  <c r="D79" i="10"/>
  <c r="E79" i="10"/>
  <c r="F79" i="10"/>
  <c r="G79" i="10"/>
  <c r="H79" i="10"/>
  <c r="I79" i="10"/>
  <c r="J79" i="10"/>
  <c r="K79" i="10"/>
  <c r="L79" i="10"/>
  <c r="M79" i="10"/>
  <c r="N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4" i="10"/>
  <c r="O95" i="10"/>
  <c r="O96" i="10"/>
  <c r="O97" i="10"/>
  <c r="O98" i="10"/>
  <c r="O99" i="10"/>
  <c r="O100" i="10"/>
  <c r="O101" i="10"/>
  <c r="C93" i="10"/>
  <c r="D93" i="10"/>
  <c r="E93" i="10"/>
  <c r="F93" i="10"/>
  <c r="G93" i="10"/>
  <c r="H93" i="10"/>
  <c r="I93" i="10"/>
  <c r="J93" i="10"/>
  <c r="L93" i="10"/>
  <c r="M93" i="10"/>
  <c r="N93" i="10"/>
  <c r="O103" i="10"/>
  <c r="O106" i="10"/>
  <c r="O107" i="10"/>
  <c r="O108" i="10"/>
  <c r="O109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8" i="10"/>
  <c r="O129" i="10"/>
  <c r="O130" i="10"/>
  <c r="O131" i="10"/>
  <c r="O132" i="10"/>
  <c r="O134" i="10"/>
  <c r="O135" i="10"/>
  <c r="O136" i="10"/>
  <c r="O137" i="10"/>
  <c r="O141" i="10"/>
  <c r="O143" i="10"/>
  <c r="O144" i="10"/>
  <c r="O145" i="10"/>
  <c r="C146" i="10"/>
  <c r="D146" i="10"/>
  <c r="E146" i="10"/>
  <c r="F146" i="10"/>
  <c r="G146" i="10"/>
  <c r="H146" i="10"/>
  <c r="I146" i="10"/>
  <c r="J146" i="10"/>
  <c r="K146" i="10"/>
  <c r="L146" i="10"/>
  <c r="M146" i="10"/>
  <c r="N146" i="10"/>
  <c r="O147" i="10"/>
  <c r="O148" i="10"/>
  <c r="O149" i="10"/>
  <c r="O150" i="10"/>
  <c r="O151" i="10"/>
  <c r="O154" i="10"/>
  <c r="O155" i="10"/>
  <c r="O156" i="10"/>
  <c r="O157" i="10"/>
  <c r="O158" i="10"/>
  <c r="O159" i="10"/>
  <c r="O160" i="10"/>
  <c r="O161" i="10"/>
  <c r="C162" i="10"/>
  <c r="D162" i="10"/>
  <c r="D153" i="10" s="1"/>
  <c r="E162" i="10"/>
  <c r="E153" i="10" s="1"/>
  <c r="F162" i="10"/>
  <c r="G162" i="10"/>
  <c r="G153" i="10" s="1"/>
  <c r="H162" i="10"/>
  <c r="H153" i="10" s="1"/>
  <c r="I162" i="10"/>
  <c r="I153" i="10" s="1"/>
  <c r="J162" i="10"/>
  <c r="J153" i="10" s="1"/>
  <c r="K162" i="10"/>
  <c r="K153" i="10" s="1"/>
  <c r="L162" i="10"/>
  <c r="L153" i="10" s="1"/>
  <c r="M162" i="10"/>
  <c r="M153" i="10" s="1"/>
  <c r="N162" i="10"/>
  <c r="N153" i="10" s="1"/>
  <c r="O163" i="10"/>
  <c r="C164" i="10"/>
  <c r="D164" i="10"/>
  <c r="E164" i="10"/>
  <c r="F164" i="10"/>
  <c r="G164" i="10"/>
  <c r="H164" i="10"/>
  <c r="I164" i="10"/>
  <c r="J164" i="10"/>
  <c r="K164" i="10"/>
  <c r="L164" i="10"/>
  <c r="M164" i="10"/>
  <c r="N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J13" i="8"/>
  <c r="A14" i="6" l="1"/>
  <c r="A29" i="6"/>
  <c r="A47" i="6" s="1"/>
  <c r="A13" i="5"/>
  <c r="A35" i="5"/>
  <c r="A52" i="5" s="1"/>
  <c r="C153" i="10"/>
  <c r="C152" i="10" s="1"/>
  <c r="L78" i="10"/>
  <c r="H78" i="10"/>
  <c r="O102" i="10"/>
  <c r="L152" i="10"/>
  <c r="H152" i="10"/>
  <c r="D152" i="10"/>
  <c r="O164" i="10"/>
  <c r="K152" i="10"/>
  <c r="G152" i="10"/>
  <c r="D78" i="10"/>
  <c r="N152" i="10"/>
  <c r="J152" i="10"/>
  <c r="O162" i="10"/>
  <c r="M78" i="10"/>
  <c r="I78" i="10"/>
  <c r="E78" i="10"/>
  <c r="M152" i="10"/>
  <c r="I152" i="10"/>
  <c r="O146" i="10"/>
  <c r="G78" i="10"/>
  <c r="O69" i="10"/>
  <c r="E152" i="10"/>
  <c r="C78" i="10"/>
  <c r="K44" i="10"/>
  <c r="K93" i="10"/>
  <c r="K78" i="10" s="1"/>
  <c r="F153" i="10"/>
  <c r="F152" i="10" s="1"/>
  <c r="O46" i="10"/>
  <c r="D44" i="10"/>
  <c r="O35" i="10"/>
  <c r="O79" i="10"/>
  <c r="N78" i="10"/>
  <c r="J78" i="10"/>
  <c r="F78" i="10"/>
  <c r="AA21" i="2"/>
  <c r="U21" i="2"/>
  <c r="I21" i="2"/>
  <c r="B21" i="9"/>
  <c r="D21" i="9"/>
  <c r="F21" i="9"/>
  <c r="H21" i="9"/>
  <c r="J21" i="9"/>
  <c r="L21" i="9"/>
  <c r="N21" i="9"/>
  <c r="P21" i="9"/>
  <c r="R21" i="9"/>
  <c r="T21" i="9"/>
  <c r="V21" i="9"/>
  <c r="X21" i="9"/>
  <c r="T10" i="8"/>
  <c r="T11" i="8"/>
  <c r="T12" i="8"/>
  <c r="G13" i="8"/>
  <c r="H13" i="8"/>
  <c r="I13" i="8"/>
  <c r="K13" i="8"/>
  <c r="L13" i="8"/>
  <c r="M13" i="8"/>
  <c r="N13" i="8"/>
  <c r="O13" i="8"/>
  <c r="P13" i="8"/>
  <c r="Q13" i="8"/>
  <c r="R13" i="8"/>
  <c r="T16" i="8"/>
  <c r="T17" i="8"/>
  <c r="G18" i="8"/>
  <c r="H18" i="8"/>
  <c r="I18" i="8"/>
  <c r="J18" i="8"/>
  <c r="K18" i="8"/>
  <c r="M18" i="8"/>
  <c r="N18" i="8"/>
  <c r="O18" i="8"/>
  <c r="P18" i="8"/>
  <c r="Q18" i="8"/>
  <c r="R18" i="8"/>
  <c r="S18" i="8"/>
  <c r="T22" i="8"/>
  <c r="T23" i="8"/>
  <c r="G24" i="8"/>
  <c r="H24" i="8"/>
  <c r="K24" i="8"/>
  <c r="L24" i="8"/>
  <c r="M24" i="8"/>
  <c r="N24" i="8"/>
  <c r="O24" i="8"/>
  <c r="Q24" i="8"/>
  <c r="R24" i="8"/>
  <c r="S24" i="8"/>
  <c r="T27" i="8"/>
  <c r="T28" i="8"/>
  <c r="G29" i="8"/>
  <c r="H29" i="8"/>
  <c r="I29" i="8"/>
  <c r="J29" i="8"/>
  <c r="K29" i="8"/>
  <c r="M29" i="8"/>
  <c r="N29" i="8"/>
  <c r="O29" i="8"/>
  <c r="P29" i="8"/>
  <c r="Q29" i="8"/>
  <c r="R29" i="8"/>
  <c r="S29" i="8"/>
  <c r="C6" i="6"/>
  <c r="D6" i="6"/>
  <c r="E6" i="6"/>
  <c r="F6" i="6"/>
  <c r="G6" i="6"/>
  <c r="H6" i="6"/>
  <c r="I6" i="6"/>
  <c r="C6" i="5"/>
  <c r="D6" i="5"/>
  <c r="E6" i="5"/>
  <c r="F6" i="5"/>
  <c r="G6" i="5"/>
  <c r="H6" i="5"/>
  <c r="I6" i="5"/>
  <c r="J6" i="5"/>
  <c r="J7" i="4"/>
  <c r="J8" i="4"/>
  <c r="J9" i="4"/>
  <c r="J10" i="4"/>
  <c r="G3" i="8" s="1"/>
  <c r="J11" i="4"/>
  <c r="G4" i="8" s="1"/>
  <c r="J12" i="4"/>
  <c r="J13" i="4"/>
  <c r="J14" i="4"/>
  <c r="J15" i="4"/>
  <c r="J16" i="4"/>
  <c r="C17" i="4"/>
  <c r="C20" i="4" s="1"/>
  <c r="D17" i="4"/>
  <c r="D19" i="4" s="1"/>
  <c r="E17" i="4"/>
  <c r="F17" i="4"/>
  <c r="G17" i="4"/>
  <c r="H17" i="4"/>
  <c r="I17" i="4"/>
  <c r="J18" i="4"/>
  <c r="J22" i="4"/>
  <c r="J23" i="4"/>
  <c r="J25" i="4"/>
  <c r="H3" i="8" s="1"/>
  <c r="J26" i="4"/>
  <c r="H4" i="8" s="1"/>
  <c r="J27" i="4"/>
  <c r="J28" i="4"/>
  <c r="J29" i="4"/>
  <c r="J30" i="4"/>
  <c r="J31" i="4"/>
  <c r="J33" i="4"/>
  <c r="J35" i="4"/>
  <c r="J39" i="4"/>
  <c r="J40" i="4"/>
  <c r="J42" i="4"/>
  <c r="I3" i="8" s="1"/>
  <c r="J44" i="4"/>
  <c r="J45" i="4"/>
  <c r="J46" i="4"/>
  <c r="J47" i="4"/>
  <c r="J48" i="4"/>
  <c r="J50" i="4"/>
  <c r="J52" i="4"/>
  <c r="J56" i="4"/>
  <c r="J57" i="4"/>
  <c r="J59" i="4"/>
  <c r="J3" i="8" s="1"/>
  <c r="J61" i="4"/>
  <c r="J62" i="4"/>
  <c r="J65" i="4"/>
  <c r="J67" i="4"/>
  <c r="J69" i="4"/>
  <c r="J73" i="4"/>
  <c r="J74" i="4"/>
  <c r="J77" i="4"/>
  <c r="K4" i="8" s="1"/>
  <c r="J78" i="4"/>
  <c r="J79" i="4"/>
  <c r="J80" i="4"/>
  <c r="J81" i="4"/>
  <c r="J82" i="4"/>
  <c r="J84" i="4"/>
  <c r="J86" i="4"/>
  <c r="J90" i="4"/>
  <c r="J91" i="4"/>
  <c r="J93" i="4"/>
  <c r="L3" i="8" s="1"/>
  <c r="J95" i="4"/>
  <c r="J96" i="4"/>
  <c r="J97" i="4"/>
  <c r="J98" i="4"/>
  <c r="J99" i="4"/>
  <c r="J101" i="4"/>
  <c r="J103" i="4"/>
  <c r="J107" i="4"/>
  <c r="J108" i="4"/>
  <c r="J111" i="4"/>
  <c r="M4" i="8" s="1"/>
  <c r="J112" i="4"/>
  <c r="J113" i="4"/>
  <c r="J116" i="4"/>
  <c r="J118" i="4"/>
  <c r="J120" i="4"/>
  <c r="J124" i="4"/>
  <c r="J127" i="4"/>
  <c r="N3" i="8" s="1"/>
  <c r="J128" i="4"/>
  <c r="N4" i="8" s="1"/>
  <c r="J129" i="4"/>
  <c r="J130" i="4"/>
  <c r="J131" i="4"/>
  <c r="J132" i="4"/>
  <c r="J133" i="4"/>
  <c r="J135" i="4"/>
  <c r="J137" i="4"/>
  <c r="J141" i="4"/>
  <c r="J142" i="4"/>
  <c r="J144" i="4"/>
  <c r="O3" i="8" s="1"/>
  <c r="J145" i="4"/>
  <c r="O4" i="8" s="1"/>
  <c r="J146" i="4"/>
  <c r="J147" i="4"/>
  <c r="J148" i="4"/>
  <c r="J149" i="4"/>
  <c r="J150" i="4"/>
  <c r="J152" i="4"/>
  <c r="J154" i="4"/>
  <c r="J159" i="4"/>
  <c r="J161" i="4"/>
  <c r="P3" i="8" s="1"/>
  <c r="J162" i="4"/>
  <c r="J163" i="4"/>
  <c r="J164" i="4"/>
  <c r="J165" i="4"/>
  <c r="J166" i="4"/>
  <c r="J167" i="4"/>
  <c r="J169" i="4"/>
  <c r="J171" i="4"/>
  <c r="J176" i="4"/>
  <c r="J178" i="4"/>
  <c r="Q3" i="8" s="1"/>
  <c r="J179" i="4"/>
  <c r="Q4" i="8" s="1"/>
  <c r="J180" i="4"/>
  <c r="J181" i="4"/>
  <c r="J182" i="4"/>
  <c r="J183" i="4"/>
  <c r="J184" i="4"/>
  <c r="J186" i="4"/>
  <c r="J188" i="4"/>
  <c r="J193" i="4"/>
  <c r="J195" i="4"/>
  <c r="R3" i="8" s="1"/>
  <c r="J197" i="4"/>
  <c r="J198" i="4"/>
  <c r="J201" i="4"/>
  <c r="J203" i="4"/>
  <c r="J205" i="4"/>
  <c r="C231" i="4"/>
  <c r="D231" i="4"/>
  <c r="E231" i="4"/>
  <c r="F231" i="4"/>
  <c r="G231" i="4"/>
  <c r="H231" i="4"/>
  <c r="I231" i="4"/>
  <c r="A15" i="6" l="1"/>
  <c r="A30" i="6"/>
  <c r="A48" i="6" s="1"/>
  <c r="A14" i="5"/>
  <c r="A36" i="5"/>
  <c r="A53" i="5" s="1"/>
  <c r="O44" i="10"/>
  <c r="D178" i="5"/>
  <c r="O93" i="10"/>
  <c r="J24" i="8"/>
  <c r="J8" i="8" s="1"/>
  <c r="O153" i="10"/>
  <c r="O152" i="10"/>
  <c r="O78" i="10"/>
  <c r="R8" i="8"/>
  <c r="N8" i="8"/>
  <c r="Q8" i="8"/>
  <c r="M8" i="8"/>
  <c r="O8" i="8"/>
  <c r="K8" i="8"/>
  <c r="G8" i="8"/>
  <c r="G78" i="6"/>
  <c r="Z6" i="9"/>
  <c r="Z16" i="9"/>
  <c r="H8" i="8"/>
  <c r="Z10" i="9"/>
  <c r="E286" i="5"/>
  <c r="G218" i="6"/>
  <c r="Z17" i="9"/>
  <c r="E178" i="6"/>
  <c r="C138" i="6"/>
  <c r="Z13" i="9"/>
  <c r="Z12" i="9"/>
  <c r="I258" i="6"/>
  <c r="E98" i="6"/>
  <c r="H20" i="4"/>
  <c r="H21" i="4" s="1"/>
  <c r="H19" i="4"/>
  <c r="J231" i="4"/>
  <c r="G20" i="4"/>
  <c r="G21" i="4" s="1"/>
  <c r="G19" i="4"/>
  <c r="C7" i="6"/>
  <c r="C19" i="4"/>
  <c r="F20" i="4"/>
  <c r="F234" i="4" s="1"/>
  <c r="F19" i="4"/>
  <c r="O5" i="8"/>
  <c r="I20" i="4"/>
  <c r="I21" i="4" s="1"/>
  <c r="I19" i="4"/>
  <c r="E20" i="4"/>
  <c r="E7" i="6" s="1"/>
  <c r="E19" i="4"/>
  <c r="G298" i="6"/>
  <c r="E258" i="6"/>
  <c r="C218" i="6"/>
  <c r="H158" i="6"/>
  <c r="F118" i="6"/>
  <c r="I78" i="6"/>
  <c r="Z9" i="9"/>
  <c r="Z5" i="9"/>
  <c r="S21" i="9"/>
  <c r="Z18" i="9"/>
  <c r="Z14" i="9"/>
  <c r="C298" i="6"/>
  <c r="H238" i="6"/>
  <c r="F198" i="6"/>
  <c r="D158" i="6"/>
  <c r="I98" i="6"/>
  <c r="Z8" i="9"/>
  <c r="Z19" i="9"/>
  <c r="Z15" i="9"/>
  <c r="Z11" i="9"/>
  <c r="Z7" i="9"/>
  <c r="F278" i="6"/>
  <c r="D238" i="6"/>
  <c r="I178" i="6"/>
  <c r="G138" i="6"/>
  <c r="D218" i="6"/>
  <c r="Z4" i="9"/>
  <c r="N5" i="8"/>
  <c r="Q5" i="8"/>
  <c r="J6" i="6"/>
  <c r="H5" i="8"/>
  <c r="D20" i="4"/>
  <c r="D21" i="4" s="1"/>
  <c r="Z20" i="9"/>
  <c r="I21" i="9"/>
  <c r="G21" i="9"/>
  <c r="E21" i="9"/>
  <c r="O21" i="9"/>
  <c r="W21" i="9"/>
  <c r="K21" i="9"/>
  <c r="Y21" i="9"/>
  <c r="U21" i="9"/>
  <c r="Q21" i="9"/>
  <c r="M21" i="9"/>
  <c r="C21" i="9"/>
  <c r="G5" i="8"/>
  <c r="J17" i="4"/>
  <c r="J20" i="4" s="1"/>
  <c r="D78" i="6"/>
  <c r="F298" i="6"/>
  <c r="E278" i="6"/>
  <c r="H258" i="6"/>
  <c r="D258" i="6"/>
  <c r="F218" i="6"/>
  <c r="I198" i="6"/>
  <c r="E198" i="6"/>
  <c r="H178" i="6"/>
  <c r="D178" i="6"/>
  <c r="G158" i="6"/>
  <c r="C158" i="6"/>
  <c r="F138" i="6"/>
  <c r="I118" i="6"/>
  <c r="E118" i="6"/>
  <c r="H98" i="6"/>
  <c r="D98" i="6"/>
  <c r="F78" i="6"/>
  <c r="I278" i="6"/>
  <c r="C238" i="6"/>
  <c r="I298" i="6"/>
  <c r="E298" i="6"/>
  <c r="H278" i="6"/>
  <c r="D278" i="6"/>
  <c r="G258" i="6"/>
  <c r="C258" i="6"/>
  <c r="F238" i="6"/>
  <c r="I218" i="6"/>
  <c r="E218" i="6"/>
  <c r="H198" i="6"/>
  <c r="D198" i="6"/>
  <c r="G178" i="6"/>
  <c r="C178" i="6"/>
  <c r="F158" i="6"/>
  <c r="I138" i="6"/>
  <c r="E138" i="6"/>
  <c r="H118" i="6"/>
  <c r="D118" i="6"/>
  <c r="G98" i="6"/>
  <c r="C98" i="6"/>
  <c r="C78" i="6"/>
  <c r="E78" i="6"/>
  <c r="G238" i="6"/>
  <c r="H298" i="6"/>
  <c r="D298" i="6"/>
  <c r="G278" i="6"/>
  <c r="C278" i="6"/>
  <c r="F258" i="6"/>
  <c r="I238" i="6"/>
  <c r="E238" i="6"/>
  <c r="H218" i="6"/>
  <c r="G198" i="6"/>
  <c r="C198" i="6"/>
  <c r="F178" i="6"/>
  <c r="I158" i="6"/>
  <c r="E158" i="6"/>
  <c r="H138" i="6"/>
  <c r="D138" i="6"/>
  <c r="G118" i="6"/>
  <c r="C118" i="6"/>
  <c r="F98" i="6"/>
  <c r="H78" i="6"/>
  <c r="G106" i="5"/>
  <c r="H88" i="5"/>
  <c r="E214" i="5"/>
  <c r="G178" i="5"/>
  <c r="H160" i="5"/>
  <c r="I142" i="5"/>
  <c r="F124" i="5"/>
  <c r="C106" i="5"/>
  <c r="I88" i="5"/>
  <c r="F88" i="5"/>
  <c r="G250" i="5"/>
  <c r="H232" i="5"/>
  <c r="I214" i="5"/>
  <c r="F196" i="5"/>
  <c r="C178" i="5"/>
  <c r="D160" i="5"/>
  <c r="E142" i="5"/>
  <c r="E88" i="5"/>
  <c r="I286" i="5"/>
  <c r="F268" i="5"/>
  <c r="C250" i="5"/>
  <c r="D232" i="5"/>
  <c r="H286" i="5"/>
  <c r="I268" i="5"/>
  <c r="F250" i="5"/>
  <c r="C232" i="5"/>
  <c r="D214" i="5"/>
  <c r="E196" i="5"/>
  <c r="G160" i="5"/>
  <c r="H142" i="5"/>
  <c r="I124" i="5"/>
  <c r="F106" i="5"/>
  <c r="G286" i="5"/>
  <c r="C286" i="5"/>
  <c r="H268" i="5"/>
  <c r="D268" i="5"/>
  <c r="I250" i="5"/>
  <c r="E250" i="5"/>
  <c r="F232" i="5"/>
  <c r="G214" i="5"/>
  <c r="C214" i="5"/>
  <c r="H196" i="5"/>
  <c r="D196" i="5"/>
  <c r="I178" i="5"/>
  <c r="E178" i="5"/>
  <c r="F160" i="5"/>
  <c r="G142" i="5"/>
  <c r="C142" i="5"/>
  <c r="H124" i="5"/>
  <c r="D124" i="5"/>
  <c r="I106" i="5"/>
  <c r="E106" i="5"/>
  <c r="G88" i="5"/>
  <c r="C88" i="5"/>
  <c r="D286" i="5"/>
  <c r="E268" i="5"/>
  <c r="G232" i="5"/>
  <c r="H214" i="5"/>
  <c r="I196" i="5"/>
  <c r="F178" i="5"/>
  <c r="C160" i="5"/>
  <c r="D142" i="5"/>
  <c r="E124" i="5"/>
  <c r="F286" i="5"/>
  <c r="G268" i="5"/>
  <c r="C268" i="5"/>
  <c r="H250" i="5"/>
  <c r="D250" i="5"/>
  <c r="I232" i="5"/>
  <c r="E232" i="5"/>
  <c r="F214" i="5"/>
  <c r="G196" i="5"/>
  <c r="C196" i="5"/>
  <c r="H178" i="5"/>
  <c r="I160" i="5"/>
  <c r="E160" i="5"/>
  <c r="F142" i="5"/>
  <c r="G124" i="5"/>
  <c r="C124" i="5"/>
  <c r="H106" i="5"/>
  <c r="D106" i="5"/>
  <c r="T13" i="8"/>
  <c r="A16" i="6" l="1"/>
  <c r="A31" i="6"/>
  <c r="A49" i="6" s="1"/>
  <c r="A15" i="5"/>
  <c r="A37" i="5"/>
  <c r="A54" i="5" s="1"/>
  <c r="AG61" i="2"/>
  <c r="L66" i="10"/>
  <c r="L67" i="10" s="1"/>
  <c r="L58" i="10" s="1"/>
  <c r="X61" i="2"/>
  <c r="I66" i="10"/>
  <c r="U61" i="2"/>
  <c r="H66" i="10"/>
  <c r="H67" i="10" s="1"/>
  <c r="H58" i="10" s="1"/>
  <c r="R61" i="2"/>
  <c r="G66" i="10"/>
  <c r="AD61" i="2"/>
  <c r="K66" i="10"/>
  <c r="K67" i="10" s="1"/>
  <c r="K58" i="10" s="1"/>
  <c r="AA61" i="2"/>
  <c r="J66" i="10"/>
  <c r="J67" i="10" s="1"/>
  <c r="J58" i="10" s="1"/>
  <c r="O61" i="2"/>
  <c r="F66" i="10"/>
  <c r="F67" i="10" s="1"/>
  <c r="F58" i="10" s="1"/>
  <c r="AM61" i="2"/>
  <c r="N66" i="10"/>
  <c r="N67" i="10" s="1"/>
  <c r="N58" i="10" s="1"/>
  <c r="AJ61" i="2"/>
  <c r="M66" i="10"/>
  <c r="L61" i="2"/>
  <c r="E66" i="10"/>
  <c r="I61" i="2"/>
  <c r="D66" i="10"/>
  <c r="F61" i="2"/>
  <c r="C66" i="10"/>
  <c r="G24" i="4"/>
  <c r="H24" i="4"/>
  <c r="D24" i="4"/>
  <c r="I24" i="4"/>
  <c r="I32" i="4" s="1"/>
  <c r="I7" i="5"/>
  <c r="I30" i="5" s="1"/>
  <c r="R8" i="2"/>
  <c r="G19" i="10"/>
  <c r="D7" i="6"/>
  <c r="D23" i="6" s="1"/>
  <c r="AD8" i="2"/>
  <c r="K19" i="10"/>
  <c r="X8" i="2"/>
  <c r="I19" i="10"/>
  <c r="AA8" i="2"/>
  <c r="J19" i="10"/>
  <c r="O8" i="2"/>
  <c r="F19" i="10"/>
  <c r="G7" i="6"/>
  <c r="G23" i="6" s="1"/>
  <c r="AJ8" i="2"/>
  <c r="M19" i="10"/>
  <c r="AM8" i="2"/>
  <c r="N19" i="10"/>
  <c r="I8" i="2"/>
  <c r="D19" i="10"/>
  <c r="F7" i="5"/>
  <c r="F30" i="5" s="1"/>
  <c r="D7" i="5"/>
  <c r="D30" i="5" s="1"/>
  <c r="H7" i="6"/>
  <c r="F8" i="2"/>
  <c r="C19" i="10"/>
  <c r="C17" i="10" s="1"/>
  <c r="F7" i="6"/>
  <c r="F23" i="6" s="1"/>
  <c r="E21" i="4"/>
  <c r="C234" i="4"/>
  <c r="C7" i="5"/>
  <c r="C30" i="5" s="1"/>
  <c r="G234" i="4"/>
  <c r="G7" i="5"/>
  <c r="G30" i="5" s="1"/>
  <c r="F21" i="4"/>
  <c r="H7" i="5"/>
  <c r="E7" i="5"/>
  <c r="E30" i="5" s="1"/>
  <c r="D234" i="4"/>
  <c r="E234" i="4"/>
  <c r="H234" i="4"/>
  <c r="I7" i="6"/>
  <c r="I23" i="6" s="1"/>
  <c r="C21" i="4"/>
  <c r="C24" i="4" s="1"/>
  <c r="I234" i="4"/>
  <c r="C23" i="6"/>
  <c r="Z21" i="9"/>
  <c r="J19" i="4"/>
  <c r="C5" i="10" s="1"/>
  <c r="E23" i="6"/>
  <c r="J21" i="4"/>
  <c r="J7" i="6"/>
  <c r="J7" i="5"/>
  <c r="I300" i="6"/>
  <c r="G300" i="6"/>
  <c r="D300" i="6"/>
  <c r="C300" i="6"/>
  <c r="F300" i="6"/>
  <c r="E300" i="6"/>
  <c r="H300" i="6"/>
  <c r="G288" i="5"/>
  <c r="H288" i="5"/>
  <c r="I288" i="5"/>
  <c r="D288" i="5"/>
  <c r="C288" i="5"/>
  <c r="E288" i="5"/>
  <c r="F288" i="5"/>
  <c r="A17" i="6" l="1"/>
  <c r="A32" i="6"/>
  <c r="A50" i="6" s="1"/>
  <c r="A16" i="5"/>
  <c r="A38" i="5"/>
  <c r="A55" i="5" s="1"/>
  <c r="J67" i="6"/>
  <c r="H41" i="6" s="1"/>
  <c r="G67" i="10"/>
  <c r="G58" i="10" s="1"/>
  <c r="I67" i="10"/>
  <c r="I58" i="10" s="1"/>
  <c r="M67" i="10"/>
  <c r="M58" i="10" s="1"/>
  <c r="E67" i="10"/>
  <c r="E58" i="10" s="1"/>
  <c r="D67" i="10"/>
  <c r="D58" i="10" s="1"/>
  <c r="C67" i="10"/>
  <c r="O66" i="10"/>
  <c r="I36" i="4"/>
  <c r="I37" i="4"/>
  <c r="I8" i="6" s="1"/>
  <c r="I24" i="6" s="1"/>
  <c r="I34" i="4"/>
  <c r="H32" i="4"/>
  <c r="E24" i="4"/>
  <c r="E32" i="4" s="1"/>
  <c r="F24" i="4"/>
  <c r="F32" i="4" s="1"/>
  <c r="D32" i="4"/>
  <c r="G32" i="4"/>
  <c r="F89" i="2"/>
  <c r="J73" i="6"/>
  <c r="M33" i="10"/>
  <c r="M31" i="10"/>
  <c r="J69" i="6"/>
  <c r="J41" i="6" s="1"/>
  <c r="J31" i="10"/>
  <c r="J33" i="10"/>
  <c r="N31" i="10"/>
  <c r="N33" i="10"/>
  <c r="G31" i="10"/>
  <c r="G33" i="10"/>
  <c r="F31" i="10"/>
  <c r="F33" i="10"/>
  <c r="I33" i="10"/>
  <c r="I31" i="10"/>
  <c r="K31" i="10"/>
  <c r="K33" i="10"/>
  <c r="D31" i="10"/>
  <c r="D33" i="10"/>
  <c r="J72" i="6"/>
  <c r="M41" i="6" s="1"/>
  <c r="J66" i="6"/>
  <c r="G41" i="6" s="1"/>
  <c r="J71" i="6"/>
  <c r="H23" i="6"/>
  <c r="J23" i="6" s="1"/>
  <c r="J64" i="6"/>
  <c r="E41" i="6" s="1"/>
  <c r="J76" i="6"/>
  <c r="J65" i="6"/>
  <c r="F41" i="6" s="1"/>
  <c r="J234" i="4"/>
  <c r="J70" i="6"/>
  <c r="K41" i="6" s="1"/>
  <c r="Y45" i="2" s="1"/>
  <c r="J62" i="6"/>
  <c r="C41" i="6" s="1"/>
  <c r="J75" i="6"/>
  <c r="J77" i="6"/>
  <c r="J74" i="6"/>
  <c r="C31" i="10"/>
  <c r="C33" i="10"/>
  <c r="J68" i="6"/>
  <c r="I41" i="6" s="1"/>
  <c r="J63" i="6"/>
  <c r="D41" i="6" s="1"/>
  <c r="C51" i="10" s="1"/>
  <c r="J77" i="5"/>
  <c r="F47" i="5" s="1"/>
  <c r="J79" i="5"/>
  <c r="H47" i="5" s="1"/>
  <c r="J80" i="5"/>
  <c r="J78" i="5"/>
  <c r="G47" i="5" s="1"/>
  <c r="J81" i="5"/>
  <c r="J75" i="5"/>
  <c r="J85" i="5"/>
  <c r="H30" i="5"/>
  <c r="J30" i="5" s="1"/>
  <c r="F50" i="2" s="1"/>
  <c r="J76" i="5"/>
  <c r="J87" i="5"/>
  <c r="J86" i="5"/>
  <c r="J84" i="5"/>
  <c r="I47" i="5" s="1"/>
  <c r="J83" i="5"/>
  <c r="J82" i="5"/>
  <c r="A18" i="6" l="1"/>
  <c r="A34" i="6" s="1"/>
  <c r="A52" i="6" s="1"/>
  <c r="A33" i="6"/>
  <c r="A51" i="6" s="1"/>
  <c r="A17" i="5"/>
  <c r="A39" i="5"/>
  <c r="A56" i="5" s="1"/>
  <c r="C127" i="10"/>
  <c r="C12" i="10"/>
  <c r="C11" i="10"/>
  <c r="C8" i="10"/>
  <c r="C9" i="10"/>
  <c r="I38" i="4"/>
  <c r="I41" i="4" s="1"/>
  <c r="I49" i="4" s="1"/>
  <c r="E37" i="4"/>
  <c r="E34" i="4"/>
  <c r="E36" i="4"/>
  <c r="F37" i="4"/>
  <c r="F34" i="4"/>
  <c r="F36" i="4"/>
  <c r="I235" i="4"/>
  <c r="I8" i="5"/>
  <c r="I31" i="5" s="1"/>
  <c r="O67" i="10"/>
  <c r="C58" i="10"/>
  <c r="D37" i="4"/>
  <c r="D36" i="4"/>
  <c r="D34" i="4"/>
  <c r="G34" i="4"/>
  <c r="G36" i="4"/>
  <c r="G37" i="4"/>
  <c r="H34" i="4"/>
  <c r="H36" i="4"/>
  <c r="H37" i="4"/>
  <c r="J24" i="4"/>
  <c r="C32" i="4"/>
  <c r="L41" i="6"/>
  <c r="C52" i="10" s="1"/>
  <c r="C50" i="10"/>
  <c r="I28" i="10"/>
  <c r="F28" i="10"/>
  <c r="J28" i="10"/>
  <c r="M28" i="10"/>
  <c r="F43" i="2"/>
  <c r="T42" i="2"/>
  <c r="AC42" i="2"/>
  <c r="AL42" i="2"/>
  <c r="AE42" i="2"/>
  <c r="N42" i="2"/>
  <c r="F42" i="2"/>
  <c r="AF45" i="2"/>
  <c r="P42" i="2"/>
  <c r="H45" i="2"/>
  <c r="Y42" i="2"/>
  <c r="J42" i="2"/>
  <c r="P45" i="2"/>
  <c r="S45" i="2"/>
  <c r="Q42" i="2"/>
  <c r="M42" i="2"/>
  <c r="AB42" i="2"/>
  <c r="AK42" i="2"/>
  <c r="Z42" i="2"/>
  <c r="K28" i="10"/>
  <c r="N28" i="10"/>
  <c r="F45" i="2"/>
  <c r="W42" i="2"/>
  <c r="AH42" i="2"/>
  <c r="AF42" i="2"/>
  <c r="H42" i="2"/>
  <c r="J78" i="6"/>
  <c r="W45" i="2"/>
  <c r="AI42" i="2"/>
  <c r="K42" i="2"/>
  <c r="G42" i="2"/>
  <c r="V42" i="2"/>
  <c r="S42" i="2"/>
  <c r="C49" i="10"/>
  <c r="G28" i="10"/>
  <c r="D28" i="10"/>
  <c r="J45" i="2"/>
  <c r="AK45" i="2"/>
  <c r="AB45" i="2"/>
  <c r="AI45" i="2"/>
  <c r="K45" i="2"/>
  <c r="T45" i="2"/>
  <c r="AE45" i="2"/>
  <c r="G45" i="2"/>
  <c r="E47" i="5"/>
  <c r="C24" i="5"/>
  <c r="D47" i="5"/>
  <c r="C23" i="5"/>
  <c r="C28" i="10"/>
  <c r="C6" i="10" s="1"/>
  <c r="AH45" i="2"/>
  <c r="Q45" i="2"/>
  <c r="Z45" i="2"/>
  <c r="M45" i="2"/>
  <c r="V45" i="2"/>
  <c r="AC45" i="2"/>
  <c r="AL45" i="2"/>
  <c r="N45" i="2"/>
  <c r="C47" i="5"/>
  <c r="C22" i="5"/>
  <c r="J88" i="5"/>
  <c r="A18" i="5" l="1"/>
  <c r="A41" i="5" s="1"/>
  <c r="A58" i="5" s="1"/>
  <c r="A40" i="5"/>
  <c r="A57" i="5" s="1"/>
  <c r="C105" i="10"/>
  <c r="C126" i="10"/>
  <c r="AB44" i="2"/>
  <c r="O58" i="10"/>
  <c r="E38" i="4"/>
  <c r="E235" i="4"/>
  <c r="E8" i="5"/>
  <c r="E31" i="5" s="1"/>
  <c r="E8" i="6"/>
  <c r="E24" i="6" s="1"/>
  <c r="F38" i="4"/>
  <c r="F235" i="4"/>
  <c r="F8" i="5"/>
  <c r="F31" i="5" s="1"/>
  <c r="F8" i="6"/>
  <c r="F24" i="6" s="1"/>
  <c r="I53" i="4"/>
  <c r="I51" i="4"/>
  <c r="I54" i="4"/>
  <c r="I9" i="5" s="1"/>
  <c r="I32" i="5" s="1"/>
  <c r="G38" i="4"/>
  <c r="G8" i="5"/>
  <c r="G31" i="5" s="1"/>
  <c r="G8" i="6"/>
  <c r="G24" i="6" s="1"/>
  <c r="G235" i="4"/>
  <c r="H8" i="5"/>
  <c r="H31" i="5" s="1"/>
  <c r="H235" i="4"/>
  <c r="H8" i="6"/>
  <c r="H24" i="6" s="1"/>
  <c r="H38" i="4"/>
  <c r="D8" i="5"/>
  <c r="D31" i="5" s="1"/>
  <c r="D8" i="6"/>
  <c r="D24" i="6" s="1"/>
  <c r="D235" i="4"/>
  <c r="D38" i="4"/>
  <c r="C34" i="4"/>
  <c r="J34" i="4" s="1"/>
  <c r="C36" i="4"/>
  <c r="J36" i="4" s="1"/>
  <c r="D5" i="10" s="1"/>
  <c r="D6" i="10" s="1"/>
  <c r="J32" i="4"/>
  <c r="C37" i="4"/>
  <c r="F44" i="2"/>
  <c r="AH44" i="2"/>
  <c r="H44" i="2"/>
  <c r="G44" i="2"/>
  <c r="S44" i="2"/>
  <c r="AI44" i="2"/>
  <c r="N44" i="2"/>
  <c r="AE44" i="2"/>
  <c r="T44" i="2"/>
  <c r="AF44" i="2"/>
  <c r="W44" i="2"/>
  <c r="AL44" i="2"/>
  <c r="AC44" i="2"/>
  <c r="P44" i="2"/>
  <c r="Z44" i="2"/>
  <c r="Y44" i="2"/>
  <c r="AK44" i="2"/>
  <c r="M44" i="2"/>
  <c r="J44" i="2"/>
  <c r="K44" i="2"/>
  <c r="V44" i="2"/>
  <c r="Q44" i="2"/>
  <c r="S41" i="6"/>
  <c r="C48" i="10"/>
  <c r="J47" i="5"/>
  <c r="C57" i="10"/>
  <c r="C56" i="10"/>
  <c r="C25" i="5"/>
  <c r="C55" i="10"/>
  <c r="D127" i="10" l="1"/>
  <c r="D12" i="10"/>
  <c r="D11" i="10"/>
  <c r="D8" i="10"/>
  <c r="D9" i="10"/>
  <c r="I89" i="2"/>
  <c r="E41" i="4"/>
  <c r="E49" i="4" s="1"/>
  <c r="I236" i="4"/>
  <c r="I9" i="6"/>
  <c r="I25" i="6" s="1"/>
  <c r="I55" i="4"/>
  <c r="I58" i="4" s="1"/>
  <c r="I66" i="4" s="1"/>
  <c r="F41" i="4"/>
  <c r="F49" i="4" s="1"/>
  <c r="D41" i="4"/>
  <c r="G41" i="4"/>
  <c r="G43" i="4" s="1"/>
  <c r="G213" i="4" s="1"/>
  <c r="H41" i="4"/>
  <c r="J37" i="4"/>
  <c r="C235" i="4"/>
  <c r="J235" i="4" s="1"/>
  <c r="C8" i="5"/>
  <c r="J92" i="5" s="1"/>
  <c r="C8" i="6"/>
  <c r="C38" i="4"/>
  <c r="C54" i="10"/>
  <c r="D105" i="10" l="1"/>
  <c r="D126" i="10"/>
  <c r="I24" i="8"/>
  <c r="I8" i="8" s="1"/>
  <c r="J43" i="4"/>
  <c r="I4" i="8" s="1"/>
  <c r="I5" i="8" s="1"/>
  <c r="E53" i="4"/>
  <c r="E51" i="4"/>
  <c r="E54" i="4"/>
  <c r="F51" i="4"/>
  <c r="F54" i="4"/>
  <c r="F53" i="4"/>
  <c r="I68" i="4"/>
  <c r="I70" i="4"/>
  <c r="I71" i="4"/>
  <c r="I10" i="6" s="1"/>
  <c r="I26" i="6" s="1"/>
  <c r="G49" i="4"/>
  <c r="C41" i="4"/>
  <c r="C49" i="4" s="1"/>
  <c r="C54" i="4" s="1"/>
  <c r="H49" i="4"/>
  <c r="D49" i="4"/>
  <c r="J85" i="6"/>
  <c r="F42" i="6" s="1"/>
  <c r="J86" i="6"/>
  <c r="G42" i="6" s="1"/>
  <c r="J97" i="6"/>
  <c r="C24" i="6"/>
  <c r="J24" i="6" s="1"/>
  <c r="J82" i="6"/>
  <c r="J89" i="6"/>
  <c r="J42" i="6" s="1"/>
  <c r="J94" i="6"/>
  <c r="J93" i="6"/>
  <c r="J87" i="6"/>
  <c r="H42" i="6" s="1"/>
  <c r="J92" i="6"/>
  <c r="M42" i="6" s="1"/>
  <c r="J88" i="6"/>
  <c r="I42" i="6" s="1"/>
  <c r="J90" i="6"/>
  <c r="K42" i="6" s="1"/>
  <c r="I45" i="2" s="1"/>
  <c r="J84" i="6"/>
  <c r="E42" i="6" s="1"/>
  <c r="J83" i="6"/>
  <c r="D42" i="6" s="1"/>
  <c r="J91" i="6"/>
  <c r="L42" i="6" s="1"/>
  <c r="D52" i="10" s="1"/>
  <c r="J95" i="6"/>
  <c r="J96" i="6"/>
  <c r="J100" i="5"/>
  <c r="J104" i="5"/>
  <c r="J103" i="5"/>
  <c r="J94" i="5"/>
  <c r="J98" i="5"/>
  <c r="I48" i="5" s="1"/>
  <c r="J95" i="5"/>
  <c r="F48" i="5" s="1"/>
  <c r="J96" i="5"/>
  <c r="G48" i="5" s="1"/>
  <c r="C31" i="5"/>
  <c r="J31" i="5" s="1"/>
  <c r="I50" i="2" s="1"/>
  <c r="J99" i="5"/>
  <c r="J102" i="5"/>
  <c r="J93" i="5"/>
  <c r="J105" i="5"/>
  <c r="J101" i="5"/>
  <c r="J97" i="5"/>
  <c r="H48" i="5" s="1"/>
  <c r="J8" i="5"/>
  <c r="J8" i="6"/>
  <c r="J38" i="4"/>
  <c r="C34" i="10"/>
  <c r="C7" i="10" s="1"/>
  <c r="I10" i="5" l="1"/>
  <c r="I33" i="5" s="1"/>
  <c r="I72" i="4"/>
  <c r="I75" i="4" s="1"/>
  <c r="I83" i="4" s="1"/>
  <c r="I88" i="4" s="1"/>
  <c r="E19" i="10"/>
  <c r="L8" i="2"/>
  <c r="E236" i="4"/>
  <c r="E9" i="5"/>
  <c r="E32" i="5" s="1"/>
  <c r="E55" i="4"/>
  <c r="E58" i="4" s="1"/>
  <c r="E9" i="6"/>
  <c r="E25" i="6" s="1"/>
  <c r="C53" i="4"/>
  <c r="I237" i="4"/>
  <c r="C51" i="4"/>
  <c r="F236" i="4"/>
  <c r="F55" i="4"/>
  <c r="F58" i="4" s="1"/>
  <c r="F9" i="5"/>
  <c r="F32" i="5" s="1"/>
  <c r="F9" i="6"/>
  <c r="F25" i="6" s="1"/>
  <c r="J49" i="4"/>
  <c r="D53" i="4"/>
  <c r="D54" i="4"/>
  <c r="D51" i="4"/>
  <c r="H53" i="4"/>
  <c r="H51" i="4"/>
  <c r="H54" i="4"/>
  <c r="J41" i="4"/>
  <c r="G53" i="4"/>
  <c r="G54" i="4"/>
  <c r="G51" i="4"/>
  <c r="C9" i="5"/>
  <c r="C55" i="4"/>
  <c r="C236" i="4"/>
  <c r="C9" i="6"/>
  <c r="D24" i="5"/>
  <c r="E48" i="5"/>
  <c r="D48" i="5"/>
  <c r="D23" i="5"/>
  <c r="D51" i="10"/>
  <c r="I44" i="2"/>
  <c r="D22" i="5"/>
  <c r="C48" i="5"/>
  <c r="J106" i="5"/>
  <c r="D49" i="10"/>
  <c r="I42" i="2"/>
  <c r="C42" i="6"/>
  <c r="J98" i="6"/>
  <c r="J76" i="4"/>
  <c r="K3" i="8" s="1"/>
  <c r="F66" i="4" l="1"/>
  <c r="F68" i="4" s="1"/>
  <c r="E33" i="10"/>
  <c r="E31" i="10"/>
  <c r="J51" i="4"/>
  <c r="J54" i="4"/>
  <c r="J55" i="4" s="1"/>
  <c r="E66" i="4"/>
  <c r="E68" i="4" s="1"/>
  <c r="J53" i="4"/>
  <c r="E5" i="10" s="1"/>
  <c r="C32" i="5"/>
  <c r="I85" i="4"/>
  <c r="G9" i="6"/>
  <c r="G25" i="6" s="1"/>
  <c r="G55" i="4"/>
  <c r="G9" i="5"/>
  <c r="G32" i="5" s="1"/>
  <c r="G236" i="4"/>
  <c r="H236" i="4"/>
  <c r="H9" i="6"/>
  <c r="H25" i="6" s="1"/>
  <c r="H55" i="4"/>
  <c r="H9" i="5"/>
  <c r="H32" i="5" s="1"/>
  <c r="C58" i="4"/>
  <c r="I87" i="4"/>
  <c r="D9" i="6"/>
  <c r="D25" i="6" s="1"/>
  <c r="D236" i="4"/>
  <c r="D55" i="4"/>
  <c r="D9" i="5"/>
  <c r="D32" i="5" s="1"/>
  <c r="J48" i="5"/>
  <c r="C25" i="6"/>
  <c r="D57" i="10"/>
  <c r="D55" i="10"/>
  <c r="D25" i="5"/>
  <c r="S42" i="6"/>
  <c r="I43" i="2"/>
  <c r="D50" i="10"/>
  <c r="D56" i="10"/>
  <c r="K5" i="8"/>
  <c r="I11" i="6"/>
  <c r="I27" i="6" s="1"/>
  <c r="I11" i="5"/>
  <c r="I34" i="5" s="1"/>
  <c r="I89" i="4"/>
  <c r="I238" i="4"/>
  <c r="F70" i="4" l="1"/>
  <c r="E127" i="10"/>
  <c r="E12" i="10"/>
  <c r="E11" i="10"/>
  <c r="E8" i="10"/>
  <c r="E9" i="10"/>
  <c r="F71" i="4"/>
  <c r="F237" i="4" s="1"/>
  <c r="D48" i="10"/>
  <c r="E28" i="10"/>
  <c r="E6" i="10" s="1"/>
  <c r="E71" i="4"/>
  <c r="E10" i="6" s="1"/>
  <c r="E26" i="6" s="1"/>
  <c r="E70" i="4"/>
  <c r="J9" i="5"/>
  <c r="J9" i="6"/>
  <c r="J236" i="4"/>
  <c r="L89" i="2"/>
  <c r="J110" i="6"/>
  <c r="K43" i="6" s="1"/>
  <c r="L45" i="2" s="1"/>
  <c r="J104" i="6"/>
  <c r="E43" i="6" s="1"/>
  <c r="J117" i="5"/>
  <c r="J115" i="5"/>
  <c r="H49" i="5" s="1"/>
  <c r="J111" i="6"/>
  <c r="L43" i="6" s="1"/>
  <c r="E52" i="10" s="1"/>
  <c r="J110" i="5"/>
  <c r="J113" i="5"/>
  <c r="F49" i="5" s="1"/>
  <c r="J111" i="5"/>
  <c r="J114" i="5"/>
  <c r="G49" i="5" s="1"/>
  <c r="J116" i="5"/>
  <c r="I49" i="5" s="1"/>
  <c r="J119" i="5"/>
  <c r="J122" i="5"/>
  <c r="J112" i="5"/>
  <c r="J118" i="5"/>
  <c r="J120" i="5"/>
  <c r="J123" i="5"/>
  <c r="J121" i="5"/>
  <c r="J25" i="6"/>
  <c r="J32" i="5"/>
  <c r="L50" i="2" s="1"/>
  <c r="I92" i="4"/>
  <c r="J102" i="6"/>
  <c r="C43" i="6" s="1"/>
  <c r="J114" i="6"/>
  <c r="J117" i="6"/>
  <c r="J109" i="6"/>
  <c r="J43" i="6" s="1"/>
  <c r="J108" i="6"/>
  <c r="I43" i="6" s="1"/>
  <c r="C66" i="4"/>
  <c r="J107" i="6"/>
  <c r="H43" i="6" s="1"/>
  <c r="J103" i="6"/>
  <c r="D43" i="6" s="1"/>
  <c r="J112" i="6"/>
  <c r="M43" i="6" s="1"/>
  <c r="J115" i="6"/>
  <c r="G58" i="4"/>
  <c r="J105" i="6"/>
  <c r="F43" i="6" s="1"/>
  <c r="J113" i="6"/>
  <c r="J116" i="6"/>
  <c r="J106" i="6"/>
  <c r="G43" i="6" s="1"/>
  <c r="D58" i="4"/>
  <c r="H58" i="4"/>
  <c r="D54" i="10"/>
  <c r="J60" i="4" l="1"/>
  <c r="J4" i="8" s="1"/>
  <c r="J5" i="8" s="1"/>
  <c r="D213" i="4"/>
  <c r="J213" i="4" s="1"/>
  <c r="I100" i="4"/>
  <c r="I102" i="4" s="1"/>
  <c r="F10" i="6"/>
  <c r="F26" i="6" s="1"/>
  <c r="E126" i="10"/>
  <c r="E105" i="10"/>
  <c r="F72" i="4"/>
  <c r="F75" i="4" s="1"/>
  <c r="F10" i="5"/>
  <c r="F33" i="5" s="1"/>
  <c r="H64" i="4"/>
  <c r="H217" i="4" s="1"/>
  <c r="E72" i="4"/>
  <c r="E75" i="4" s="1"/>
  <c r="E237" i="4"/>
  <c r="E10" i="5"/>
  <c r="E33" i="5" s="1"/>
  <c r="L42" i="2"/>
  <c r="E24" i="5"/>
  <c r="E57" i="10" s="1"/>
  <c r="E49" i="5"/>
  <c r="D49" i="5"/>
  <c r="E23" i="5"/>
  <c r="E56" i="10" s="1"/>
  <c r="C49" i="5"/>
  <c r="J124" i="5"/>
  <c r="E22" i="5"/>
  <c r="L44" i="2"/>
  <c r="E51" i="10"/>
  <c r="E49" i="10"/>
  <c r="J118" i="6"/>
  <c r="C68" i="4"/>
  <c r="C70" i="4"/>
  <c r="C71" i="4"/>
  <c r="D66" i="4"/>
  <c r="J58" i="4"/>
  <c r="AB43" i="2"/>
  <c r="W43" i="2"/>
  <c r="T43" i="2"/>
  <c r="Y43" i="2"/>
  <c r="AF43" i="2"/>
  <c r="E50" i="10"/>
  <c r="AC43" i="2"/>
  <c r="AE43" i="2"/>
  <c r="P43" i="2"/>
  <c r="L43" i="2"/>
  <c r="M43" i="2"/>
  <c r="AK43" i="2"/>
  <c r="V43" i="2"/>
  <c r="N43" i="2"/>
  <c r="Z43" i="2"/>
  <c r="AH43" i="2"/>
  <c r="AL43" i="2"/>
  <c r="S43" i="6"/>
  <c r="AI43" i="2"/>
  <c r="Q43" i="2"/>
  <c r="S43" i="2"/>
  <c r="D34" i="10"/>
  <c r="D7" i="10" s="1"/>
  <c r="I104" i="4" l="1"/>
  <c r="I105" i="4"/>
  <c r="I239" i="4" s="1"/>
  <c r="G63" i="4"/>
  <c r="G216" i="4" s="1"/>
  <c r="J64" i="4"/>
  <c r="H66" i="4"/>
  <c r="E25" i="5"/>
  <c r="E55" i="10"/>
  <c r="J49" i="5"/>
  <c r="E48" i="10"/>
  <c r="C10" i="6"/>
  <c r="C72" i="4"/>
  <c r="C10" i="5"/>
  <c r="C237" i="4"/>
  <c r="F83" i="4"/>
  <c r="F88" i="4" s="1"/>
  <c r="D71" i="4"/>
  <c r="D68" i="4"/>
  <c r="D70" i="4"/>
  <c r="E83" i="4"/>
  <c r="E88" i="4" s="1"/>
  <c r="I12" i="5" l="1"/>
  <c r="I35" i="5" s="1"/>
  <c r="I12" i="6"/>
  <c r="I28" i="6" s="1"/>
  <c r="I106" i="4"/>
  <c r="I109" i="4" s="1"/>
  <c r="H70" i="4"/>
  <c r="H71" i="4"/>
  <c r="H68" i="4"/>
  <c r="J63" i="4"/>
  <c r="G66" i="4"/>
  <c r="E54" i="10"/>
  <c r="E34" i="10" s="1"/>
  <c r="E7" i="10" s="1"/>
  <c r="C33" i="5"/>
  <c r="F87" i="4"/>
  <c r="F85" i="4"/>
  <c r="C75" i="4"/>
  <c r="E85" i="4"/>
  <c r="E87" i="4"/>
  <c r="D10" i="6"/>
  <c r="D26" i="6" s="1"/>
  <c r="D10" i="5"/>
  <c r="D33" i="5" s="1"/>
  <c r="D72" i="4"/>
  <c r="D237" i="4"/>
  <c r="C26" i="6"/>
  <c r="I115" i="4" l="1"/>
  <c r="I217" i="4" s="1"/>
  <c r="G70" i="4"/>
  <c r="J70" i="4" s="1"/>
  <c r="O89" i="2" s="1"/>
  <c r="G71" i="4"/>
  <c r="G68" i="4"/>
  <c r="J68" i="4" s="1"/>
  <c r="J66" i="4"/>
  <c r="H10" i="6"/>
  <c r="H26" i="6" s="1"/>
  <c r="H72" i="4"/>
  <c r="H75" i="4" s="1"/>
  <c r="H83" i="4" s="1"/>
  <c r="H88" i="4" s="1"/>
  <c r="H10" i="5"/>
  <c r="H33" i="5" s="1"/>
  <c r="H237" i="4"/>
  <c r="F114" i="4"/>
  <c r="F216" i="4" s="1"/>
  <c r="C83" i="4"/>
  <c r="C88" i="4" s="1"/>
  <c r="D75" i="4"/>
  <c r="D83" i="4" s="1"/>
  <c r="D88" i="4" s="1"/>
  <c r="E11" i="5"/>
  <c r="E34" i="5" s="1"/>
  <c r="E238" i="4"/>
  <c r="E11" i="6"/>
  <c r="E27" i="6" s="1"/>
  <c r="E89" i="4"/>
  <c r="F11" i="6"/>
  <c r="F27" i="6" s="1"/>
  <c r="F11" i="5"/>
  <c r="F34" i="5" s="1"/>
  <c r="F89" i="4"/>
  <c r="F238" i="4"/>
  <c r="H114" i="4" l="1"/>
  <c r="H216" i="4" s="1"/>
  <c r="I117" i="4"/>
  <c r="I121" i="4" s="1"/>
  <c r="F5" i="10"/>
  <c r="G10" i="6"/>
  <c r="J71" i="4"/>
  <c r="G72" i="4"/>
  <c r="G75" i="4" s="1"/>
  <c r="J75" i="4" s="1"/>
  <c r="G10" i="5"/>
  <c r="G237" i="4"/>
  <c r="J237" i="4" s="1"/>
  <c r="I122" i="4"/>
  <c r="H87" i="4"/>
  <c r="H85" i="4"/>
  <c r="E92" i="4"/>
  <c r="D87" i="4"/>
  <c r="D85" i="4"/>
  <c r="C87" i="4"/>
  <c r="C85" i="4"/>
  <c r="F92" i="4"/>
  <c r="P4" i="8"/>
  <c r="T21" i="8"/>
  <c r="P24" i="8"/>
  <c r="I119" i="4" l="1"/>
  <c r="E100" i="4"/>
  <c r="E105" i="4" s="1"/>
  <c r="F12" i="10"/>
  <c r="F127" i="10"/>
  <c r="F11" i="10"/>
  <c r="F8" i="10"/>
  <c r="F9" i="10"/>
  <c r="F6" i="10"/>
  <c r="G83" i="4"/>
  <c r="G33" i="5"/>
  <c r="J33" i="5" s="1"/>
  <c r="O50" i="2" s="1"/>
  <c r="J131" i="5"/>
  <c r="F50" i="5" s="1"/>
  <c r="J134" i="5"/>
  <c r="I50" i="5" s="1"/>
  <c r="J133" i="5"/>
  <c r="H50" i="5" s="1"/>
  <c r="J141" i="5"/>
  <c r="J135" i="5"/>
  <c r="J137" i="5"/>
  <c r="J130" i="5"/>
  <c r="J128" i="5"/>
  <c r="J138" i="5"/>
  <c r="J136" i="5"/>
  <c r="J129" i="5"/>
  <c r="J139" i="5"/>
  <c r="J140" i="5"/>
  <c r="J132" i="5"/>
  <c r="G50" i="5" s="1"/>
  <c r="J10" i="6"/>
  <c r="J10" i="5"/>
  <c r="J72" i="4"/>
  <c r="G26" i="6"/>
  <c r="J26" i="6" s="1"/>
  <c r="J131" i="6"/>
  <c r="L44" i="6" s="1"/>
  <c r="F52" i="10" s="1"/>
  <c r="J133" i="6"/>
  <c r="J123" i="6"/>
  <c r="D44" i="6" s="1"/>
  <c r="J125" i="6"/>
  <c r="F44" i="6" s="1"/>
  <c r="J134" i="6"/>
  <c r="J128" i="6"/>
  <c r="I44" i="6" s="1"/>
  <c r="J137" i="6"/>
  <c r="J126" i="6"/>
  <c r="G44" i="6" s="1"/>
  <c r="J124" i="6"/>
  <c r="E44" i="6" s="1"/>
  <c r="J132" i="6"/>
  <c r="M44" i="6" s="1"/>
  <c r="J130" i="6"/>
  <c r="K44" i="6" s="1"/>
  <c r="O45" i="2" s="1"/>
  <c r="J136" i="6"/>
  <c r="J122" i="6"/>
  <c r="J135" i="6"/>
  <c r="J127" i="6"/>
  <c r="H44" i="6" s="1"/>
  <c r="J129" i="6"/>
  <c r="J44" i="6" s="1"/>
  <c r="I192" i="4"/>
  <c r="J192" i="4" s="1"/>
  <c r="I175" i="4"/>
  <c r="J175" i="4" s="1"/>
  <c r="I158" i="4"/>
  <c r="I209" i="4" s="1"/>
  <c r="J209" i="4" s="1"/>
  <c r="I123" i="4"/>
  <c r="I13" i="6"/>
  <c r="I29" i="6" s="1"/>
  <c r="I13" i="5"/>
  <c r="I36" i="5" s="1"/>
  <c r="I240" i="4"/>
  <c r="T26" i="8"/>
  <c r="L29" i="8"/>
  <c r="T29" i="8" s="1"/>
  <c r="H11" i="6"/>
  <c r="H27" i="6" s="1"/>
  <c r="H238" i="4"/>
  <c r="H89" i="4"/>
  <c r="H11" i="5"/>
  <c r="H34" i="5" s="1"/>
  <c r="D238" i="4"/>
  <c r="D11" i="5"/>
  <c r="D34" i="5" s="1"/>
  <c r="D89" i="4"/>
  <c r="D11" i="6"/>
  <c r="D27" i="6" s="1"/>
  <c r="F100" i="4"/>
  <c r="F115" i="4" s="1"/>
  <c r="F217" i="4" s="1"/>
  <c r="C11" i="6"/>
  <c r="C238" i="4"/>
  <c r="C89" i="4"/>
  <c r="C11" i="5"/>
  <c r="P5" i="8"/>
  <c r="T24" i="8"/>
  <c r="P8" i="8"/>
  <c r="L19" i="10" s="1"/>
  <c r="E102" i="4" l="1"/>
  <c r="E104" i="4"/>
  <c r="F105" i="10"/>
  <c r="F126" i="10"/>
  <c r="J83" i="4"/>
  <c r="G88" i="4"/>
  <c r="J88" i="4" s="1"/>
  <c r="J89" i="4" s="1"/>
  <c r="G85" i="4"/>
  <c r="J85" i="4" s="1"/>
  <c r="G87" i="4"/>
  <c r="J87" i="4" s="1"/>
  <c r="G5" i="10" s="1"/>
  <c r="E114" i="4"/>
  <c r="E216" i="4" s="1"/>
  <c r="J216" i="4" s="1"/>
  <c r="J115" i="4"/>
  <c r="J138" i="6"/>
  <c r="C44" i="6"/>
  <c r="O42" i="2"/>
  <c r="F49" i="10"/>
  <c r="F23" i="5"/>
  <c r="F56" i="10" s="1"/>
  <c r="D50" i="5"/>
  <c r="E50" i="5"/>
  <c r="F24" i="5"/>
  <c r="F57" i="10" s="1"/>
  <c r="F51" i="10"/>
  <c r="O44" i="2"/>
  <c r="F22" i="5"/>
  <c r="C50" i="5"/>
  <c r="J142" i="5"/>
  <c r="J158" i="4"/>
  <c r="I126" i="4"/>
  <c r="J94" i="4"/>
  <c r="C34" i="5"/>
  <c r="D92" i="4"/>
  <c r="H92" i="4"/>
  <c r="C27" i="6"/>
  <c r="E239" i="4"/>
  <c r="E12" i="6"/>
  <c r="E28" i="6" s="1"/>
  <c r="E106" i="4"/>
  <c r="E12" i="5"/>
  <c r="E35" i="5" s="1"/>
  <c r="C92" i="4"/>
  <c r="F104" i="4"/>
  <c r="F105" i="4"/>
  <c r="F102" i="4"/>
  <c r="L31" i="10"/>
  <c r="L33" i="10"/>
  <c r="AG8" i="2"/>
  <c r="R89" i="2" l="1"/>
  <c r="I134" i="4"/>
  <c r="I136" i="4" s="1"/>
  <c r="C100" i="4"/>
  <c r="C102" i="4" s="1"/>
  <c r="G127" i="10"/>
  <c r="G126" i="10" s="1"/>
  <c r="G11" i="5"/>
  <c r="G34" i="5" s="1"/>
  <c r="J34" i="5" s="1"/>
  <c r="R50" i="2" s="1"/>
  <c r="G11" i="6"/>
  <c r="G27" i="6" s="1"/>
  <c r="J27" i="6" s="1"/>
  <c r="J11" i="6"/>
  <c r="G238" i="4"/>
  <c r="J238" i="4" s="1"/>
  <c r="G89" i="4"/>
  <c r="G92" i="4" s="1"/>
  <c r="J11" i="5"/>
  <c r="J50" i="5"/>
  <c r="F55" i="10"/>
  <c r="F54" i="10" s="1"/>
  <c r="F25" i="5"/>
  <c r="O43" i="2"/>
  <c r="S44" i="6"/>
  <c r="F50" i="10"/>
  <c r="F48" i="10" s="1"/>
  <c r="G11" i="10"/>
  <c r="G12" i="10"/>
  <c r="L4" i="8"/>
  <c r="L18" i="8"/>
  <c r="T15" i="8"/>
  <c r="G8" i="10"/>
  <c r="G9" i="10"/>
  <c r="G6" i="10"/>
  <c r="F106" i="4"/>
  <c r="F12" i="5"/>
  <c r="F35" i="5" s="1"/>
  <c r="F239" i="4"/>
  <c r="F12" i="6"/>
  <c r="F28" i="6" s="1"/>
  <c r="H100" i="4"/>
  <c r="E109" i="4"/>
  <c r="D100" i="4"/>
  <c r="L28" i="10"/>
  <c r="I139" i="4" l="1"/>
  <c r="I140" i="4" s="1"/>
  <c r="I143" i="4" s="1"/>
  <c r="I138" i="4"/>
  <c r="C104" i="4"/>
  <c r="E117" i="4"/>
  <c r="E119" i="4" s="1"/>
  <c r="G100" i="4"/>
  <c r="J100" i="4" s="1"/>
  <c r="C105" i="4"/>
  <c r="C106" i="4" s="1"/>
  <c r="J154" i="5"/>
  <c r="J158" i="5"/>
  <c r="J146" i="5"/>
  <c r="C51" i="5" s="1"/>
  <c r="J150" i="5"/>
  <c r="G51" i="5" s="1"/>
  <c r="J157" i="5"/>
  <c r="G105" i="10"/>
  <c r="F34" i="10"/>
  <c r="F7" i="10" s="1"/>
  <c r="J153" i="5"/>
  <c r="F45" i="6"/>
  <c r="J142" i="6"/>
  <c r="C45" i="6" s="1"/>
  <c r="R43" i="2" s="1"/>
  <c r="J159" i="5"/>
  <c r="J147" i="5"/>
  <c r="D51" i="5" s="1"/>
  <c r="J143" i="6"/>
  <c r="D45" i="6" s="1"/>
  <c r="G51" i="10" s="1"/>
  <c r="J148" i="5"/>
  <c r="E51" i="5" s="1"/>
  <c r="J156" i="5"/>
  <c r="I51" i="5" s="1"/>
  <c r="J151" i="5"/>
  <c r="H51" i="5" s="1"/>
  <c r="J154" i="6"/>
  <c r="J153" i="6"/>
  <c r="J151" i="6"/>
  <c r="L45" i="6" s="1"/>
  <c r="G52" i="10" s="1"/>
  <c r="J147" i="6"/>
  <c r="H45" i="6" s="1"/>
  <c r="J155" i="5"/>
  <c r="J150" i="6"/>
  <c r="K45" i="6" s="1"/>
  <c r="R45" i="2" s="1"/>
  <c r="J146" i="6"/>
  <c r="G45" i="6" s="1"/>
  <c r="J152" i="6"/>
  <c r="M45" i="6" s="1"/>
  <c r="J157" i="6"/>
  <c r="J149" i="6"/>
  <c r="J45" i="6" s="1"/>
  <c r="J156" i="6"/>
  <c r="J149" i="5"/>
  <c r="F51" i="5" s="1"/>
  <c r="J155" i="6"/>
  <c r="J152" i="5"/>
  <c r="J144" i="6"/>
  <c r="E45" i="6" s="1"/>
  <c r="J148" i="6"/>
  <c r="I45" i="6" s="1"/>
  <c r="T18" i="8"/>
  <c r="L8" i="8"/>
  <c r="L5" i="8"/>
  <c r="C12" i="5"/>
  <c r="C12" i="6"/>
  <c r="C239" i="4"/>
  <c r="H104" i="4"/>
  <c r="H102" i="4"/>
  <c r="H105" i="4"/>
  <c r="F109" i="4"/>
  <c r="D104" i="4"/>
  <c r="D102" i="4"/>
  <c r="D105" i="4"/>
  <c r="J92" i="4"/>
  <c r="I14" i="5" l="1"/>
  <c r="I37" i="5" s="1"/>
  <c r="I14" i="6"/>
  <c r="I30" i="6" s="1"/>
  <c r="I241" i="4"/>
  <c r="E121" i="4"/>
  <c r="G105" i="4"/>
  <c r="G106" i="4" s="1"/>
  <c r="G102" i="4"/>
  <c r="J102" i="4" s="1"/>
  <c r="E122" i="4"/>
  <c r="E240" i="4" s="1"/>
  <c r="G104" i="4"/>
  <c r="J104" i="4" s="1"/>
  <c r="U89" i="2" s="1"/>
  <c r="G22" i="5"/>
  <c r="G55" i="10" s="1"/>
  <c r="G23" i="5"/>
  <c r="G56" i="10" s="1"/>
  <c r="R44" i="2"/>
  <c r="G50" i="10"/>
  <c r="S45" i="6"/>
  <c r="G24" i="5"/>
  <c r="G57" i="10" s="1"/>
  <c r="J51" i="5"/>
  <c r="R42" i="2"/>
  <c r="J160" i="5"/>
  <c r="G49" i="10"/>
  <c r="J158" i="6"/>
  <c r="I151" i="4"/>
  <c r="I156" i="4" s="1"/>
  <c r="U8" i="2"/>
  <c r="H19" i="10"/>
  <c r="T8" i="8"/>
  <c r="C35" i="5"/>
  <c r="H12" i="6"/>
  <c r="H28" i="6" s="1"/>
  <c r="H12" i="5"/>
  <c r="H35" i="5" s="1"/>
  <c r="H239" i="4"/>
  <c r="H106" i="4"/>
  <c r="C109" i="4"/>
  <c r="C28" i="6"/>
  <c r="D12" i="6"/>
  <c r="D28" i="6" s="1"/>
  <c r="D106" i="4"/>
  <c r="D12" i="5"/>
  <c r="D35" i="5" s="1"/>
  <c r="D239" i="4"/>
  <c r="F117" i="4"/>
  <c r="G12" i="5" l="1"/>
  <c r="G35" i="5" s="1"/>
  <c r="J35" i="5" s="1"/>
  <c r="U50" i="2" s="1"/>
  <c r="E13" i="5"/>
  <c r="E36" i="5" s="1"/>
  <c r="E13" i="6"/>
  <c r="E29" i="6" s="1"/>
  <c r="E123" i="4"/>
  <c r="J105" i="4"/>
  <c r="J12" i="6" s="1"/>
  <c r="G12" i="6"/>
  <c r="G28" i="6" s="1"/>
  <c r="J28" i="6" s="1"/>
  <c r="G239" i="4"/>
  <c r="J239" i="4" s="1"/>
  <c r="C117" i="4"/>
  <c r="C122" i="4" s="1"/>
  <c r="G54" i="10"/>
  <c r="G25" i="5"/>
  <c r="G48" i="10"/>
  <c r="I155" i="4"/>
  <c r="I153" i="4"/>
  <c r="H31" i="10"/>
  <c r="H33" i="10"/>
  <c r="O19" i="10"/>
  <c r="J167" i="5"/>
  <c r="F52" i="5" s="1"/>
  <c r="J174" i="5"/>
  <c r="J165" i="5"/>
  <c r="H5" i="10"/>
  <c r="D109" i="4"/>
  <c r="G109" i="4"/>
  <c r="F121" i="4"/>
  <c r="F122" i="4"/>
  <c r="F119" i="4"/>
  <c r="I15" i="5"/>
  <c r="I38" i="5" s="1"/>
  <c r="I242" i="4"/>
  <c r="I15" i="6"/>
  <c r="I31" i="6" s="1"/>
  <c r="I157" i="4"/>
  <c r="E126" i="4"/>
  <c r="H109" i="4"/>
  <c r="J170" i="5" l="1"/>
  <c r="I52" i="5" s="1"/>
  <c r="J175" i="5"/>
  <c r="J176" i="5"/>
  <c r="J169" i="5"/>
  <c r="H52" i="5" s="1"/>
  <c r="J164" i="5"/>
  <c r="H22" i="5" s="1"/>
  <c r="J166" i="5"/>
  <c r="J168" i="5"/>
  <c r="G52" i="5" s="1"/>
  <c r="J171" i="5"/>
  <c r="J177" i="5"/>
  <c r="J172" i="5"/>
  <c r="J173" i="5"/>
  <c r="J173" i="6"/>
  <c r="J168" i="6"/>
  <c r="I46" i="6" s="1"/>
  <c r="J165" i="6"/>
  <c r="F46" i="6" s="1"/>
  <c r="J169" i="6"/>
  <c r="J46" i="6" s="1"/>
  <c r="J166" i="6"/>
  <c r="G46" i="6" s="1"/>
  <c r="J177" i="6"/>
  <c r="J163" i="6"/>
  <c r="D46" i="6" s="1"/>
  <c r="H51" i="10" s="1"/>
  <c r="J174" i="6"/>
  <c r="J167" i="6"/>
  <c r="H46" i="6" s="1"/>
  <c r="J164" i="6"/>
  <c r="E46" i="6" s="1"/>
  <c r="H49" i="10" s="1"/>
  <c r="J172" i="6"/>
  <c r="M46" i="6" s="1"/>
  <c r="J162" i="6"/>
  <c r="C46" i="6" s="1"/>
  <c r="J12" i="5"/>
  <c r="J170" i="6"/>
  <c r="K46" i="6" s="1"/>
  <c r="U45" i="2" s="1"/>
  <c r="J175" i="6"/>
  <c r="J171" i="6"/>
  <c r="L46" i="6" s="1"/>
  <c r="H52" i="10" s="1"/>
  <c r="J106" i="4"/>
  <c r="C119" i="4"/>
  <c r="C121" i="4"/>
  <c r="J176" i="6"/>
  <c r="E134" i="4"/>
  <c r="E136" i="4" s="1"/>
  <c r="D117" i="4"/>
  <c r="D122" i="4" s="1"/>
  <c r="G117" i="4"/>
  <c r="G121" i="4" s="1"/>
  <c r="G34" i="10"/>
  <c r="G7" i="10" s="1"/>
  <c r="H105" i="10"/>
  <c r="H127" i="10"/>
  <c r="H126" i="10" s="1"/>
  <c r="O33" i="10"/>
  <c r="H11" i="10"/>
  <c r="H12" i="10"/>
  <c r="H28" i="10"/>
  <c r="H6" i="10" s="1"/>
  <c r="O31" i="10"/>
  <c r="H8" i="10"/>
  <c r="H9" i="10"/>
  <c r="E52" i="5"/>
  <c r="H23" i="5"/>
  <c r="H56" i="10" s="1"/>
  <c r="D52" i="5"/>
  <c r="C52" i="5"/>
  <c r="I160" i="4"/>
  <c r="J109" i="4"/>
  <c r="F13" i="6"/>
  <c r="F29" i="6" s="1"/>
  <c r="F13" i="5"/>
  <c r="F36" i="5" s="1"/>
  <c r="F240" i="4"/>
  <c r="F123" i="4"/>
  <c r="C123" i="4"/>
  <c r="C13" i="6"/>
  <c r="C13" i="5"/>
  <c r="C240" i="4"/>
  <c r="J178" i="5" l="1"/>
  <c r="H24" i="5"/>
  <c r="H57" i="10" s="1"/>
  <c r="U42" i="2"/>
  <c r="U44" i="2"/>
  <c r="J178" i="6"/>
  <c r="G122" i="4"/>
  <c r="G240" i="4" s="1"/>
  <c r="D121" i="4"/>
  <c r="G119" i="4"/>
  <c r="D119" i="4"/>
  <c r="E138" i="4"/>
  <c r="E139" i="4"/>
  <c r="E241" i="4" s="1"/>
  <c r="O28" i="10"/>
  <c r="C36" i="5"/>
  <c r="H55" i="10"/>
  <c r="J52" i="5"/>
  <c r="H50" i="10"/>
  <c r="H48" i="10" s="1"/>
  <c r="U43" i="2"/>
  <c r="S46" i="6"/>
  <c r="C29" i="6"/>
  <c r="G123" i="4"/>
  <c r="G13" i="5"/>
  <c r="G36" i="5" s="1"/>
  <c r="G13" i="6"/>
  <c r="G29" i="6" s="1"/>
  <c r="C126" i="4"/>
  <c r="F126" i="4"/>
  <c r="D13" i="5"/>
  <c r="D36" i="5" s="1"/>
  <c r="D13" i="6"/>
  <c r="D29" i="6" s="1"/>
  <c r="D123" i="4"/>
  <c r="D240" i="4"/>
  <c r="I168" i="4"/>
  <c r="H25" i="5" l="1"/>
  <c r="H54" i="10"/>
  <c r="E14" i="6"/>
  <c r="E30" i="6" s="1"/>
  <c r="E14" i="5"/>
  <c r="E37" i="5" s="1"/>
  <c r="E140" i="4"/>
  <c r="E143" i="4" s="1"/>
  <c r="H34" i="10"/>
  <c r="H7" i="10" s="1"/>
  <c r="I172" i="4"/>
  <c r="I170" i="4"/>
  <c r="I173" i="4"/>
  <c r="G126" i="4"/>
  <c r="D126" i="4"/>
  <c r="F134" i="4"/>
  <c r="G134" i="4" l="1"/>
  <c r="G139" i="4" s="1"/>
  <c r="E151" i="4"/>
  <c r="E155" i="4" s="1"/>
  <c r="D134" i="4"/>
  <c r="D136" i="4" s="1"/>
  <c r="F138" i="4"/>
  <c r="F139" i="4"/>
  <c r="F136" i="4"/>
  <c r="I174" i="4"/>
  <c r="I243" i="4"/>
  <c r="I16" i="5"/>
  <c r="I39" i="5" s="1"/>
  <c r="I16" i="6"/>
  <c r="I32" i="6" s="1"/>
  <c r="E153" i="4" l="1"/>
  <c r="G136" i="4"/>
  <c r="G138" i="4"/>
  <c r="E156" i="4"/>
  <c r="E157" i="4" s="1"/>
  <c r="D138" i="4"/>
  <c r="D139" i="4"/>
  <c r="D14" i="5" s="1"/>
  <c r="I177" i="4"/>
  <c r="G14" i="5"/>
  <c r="G37" i="5" s="1"/>
  <c r="G140" i="4"/>
  <c r="G241" i="4"/>
  <c r="G14" i="6"/>
  <c r="G30" i="6" s="1"/>
  <c r="F14" i="6"/>
  <c r="F30" i="6" s="1"/>
  <c r="F241" i="4"/>
  <c r="F14" i="5"/>
  <c r="F37" i="5" s="1"/>
  <c r="F140" i="4"/>
  <c r="E242" i="4" l="1"/>
  <c r="E15" i="5"/>
  <c r="E38" i="5" s="1"/>
  <c r="E15" i="6"/>
  <c r="E31" i="6" s="1"/>
  <c r="D37" i="5"/>
  <c r="D14" i="6"/>
  <c r="D30" i="6" s="1"/>
  <c r="D241" i="4"/>
  <c r="D140" i="4"/>
  <c r="D143" i="4" s="1"/>
  <c r="G143" i="4"/>
  <c r="I185" i="4"/>
  <c r="E160" i="4"/>
  <c r="F143" i="4"/>
  <c r="E168" i="4" l="1"/>
  <c r="E172" i="4" s="1"/>
  <c r="D151" i="4"/>
  <c r="D153" i="4" s="1"/>
  <c r="I187" i="4"/>
  <c r="I189" i="4"/>
  <c r="I190" i="4"/>
  <c r="F151" i="4"/>
  <c r="G151" i="4"/>
  <c r="AM144" i="2"/>
  <c r="AL144" i="2"/>
  <c r="AK144" i="2"/>
  <c r="AJ144" i="2"/>
  <c r="AI144" i="2"/>
  <c r="AH144" i="2"/>
  <c r="AG144" i="2"/>
  <c r="AF144" i="2"/>
  <c r="AE144" i="2"/>
  <c r="AD144" i="2"/>
  <c r="AC144" i="2"/>
  <c r="AB144" i="2"/>
  <c r="AA144" i="2"/>
  <c r="Z144" i="2"/>
  <c r="Y144" i="2"/>
  <c r="X144" i="2"/>
  <c r="W144" i="2"/>
  <c r="V144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AM138" i="2"/>
  <c r="AL138" i="2"/>
  <c r="AL94" i="2" s="1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AM129" i="2"/>
  <c r="AL129" i="2"/>
  <c r="AK129" i="2"/>
  <c r="AJ129" i="2"/>
  <c r="AI129" i="2"/>
  <c r="AH129" i="2"/>
  <c r="AG129" i="2"/>
  <c r="AF129" i="2"/>
  <c r="AE129" i="2"/>
  <c r="AD129" i="2"/>
  <c r="AC129" i="2"/>
  <c r="AB129" i="2"/>
  <c r="AA129" i="2"/>
  <c r="Z129" i="2"/>
  <c r="Y129" i="2"/>
  <c r="X129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AO123" i="2"/>
  <c r="AN123" i="2"/>
  <c r="AM123" i="2"/>
  <c r="AL123" i="2"/>
  <c r="AK123" i="2"/>
  <c r="AJ123" i="2"/>
  <c r="AI123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AM118" i="2"/>
  <c r="AM94" i="2" s="1"/>
  <c r="AL118" i="2"/>
  <c r="AK118" i="2"/>
  <c r="AJ118" i="2"/>
  <c r="AI118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W94" i="2" s="1"/>
  <c r="V118" i="2"/>
  <c r="U118" i="2"/>
  <c r="T118" i="2"/>
  <c r="S118" i="2"/>
  <c r="R118" i="2"/>
  <c r="Q118" i="2"/>
  <c r="P118" i="2"/>
  <c r="O118" i="2"/>
  <c r="N118" i="2"/>
  <c r="M118" i="2"/>
  <c r="L118" i="2"/>
  <c r="K118" i="2"/>
  <c r="K94" i="2" s="1"/>
  <c r="J118" i="2"/>
  <c r="I118" i="2"/>
  <c r="H118" i="2"/>
  <c r="G118" i="2"/>
  <c r="F118" i="2"/>
  <c r="AM108" i="2"/>
  <c r="AL108" i="2"/>
  <c r="AK108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AO96" i="2"/>
  <c r="AN96" i="2"/>
  <c r="AM96" i="2"/>
  <c r="AL96" i="2"/>
  <c r="AK96" i="2"/>
  <c r="AJ96" i="2"/>
  <c r="AI96" i="2"/>
  <c r="AH96" i="2"/>
  <c r="AG96" i="2"/>
  <c r="AG94" i="2" s="1"/>
  <c r="AF96" i="2"/>
  <c r="AE96" i="2"/>
  <c r="AD96" i="2"/>
  <c r="AC96" i="2"/>
  <c r="AB96" i="2"/>
  <c r="AA96" i="2"/>
  <c r="Z96" i="2"/>
  <c r="Y96" i="2"/>
  <c r="X96" i="2"/>
  <c r="W96" i="2"/>
  <c r="V96" i="2"/>
  <c r="U96" i="2"/>
  <c r="U94" i="2" s="1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AP92" i="2"/>
  <c r="AP86" i="2"/>
  <c r="AP85" i="2"/>
  <c r="AP84" i="2"/>
  <c r="AP83" i="2"/>
  <c r="AM82" i="2"/>
  <c r="AL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AP80" i="2"/>
  <c r="AP79" i="2"/>
  <c r="AP78" i="2"/>
  <c r="AP77" i="2"/>
  <c r="AP76" i="2"/>
  <c r="AP75" i="2"/>
  <c r="AP74" i="2"/>
  <c r="AP73" i="2"/>
  <c r="AM72" i="2"/>
  <c r="AL72" i="2"/>
  <c r="AK72" i="2"/>
  <c r="AJ72" i="2"/>
  <c r="AI72" i="2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AP70" i="2"/>
  <c r="AP69" i="2"/>
  <c r="AP68" i="2"/>
  <c r="AP67" i="2"/>
  <c r="AP66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O63" i="2"/>
  <c r="AP62" i="2"/>
  <c r="AM63" i="2"/>
  <c r="AJ63" i="2"/>
  <c r="AG63" i="2"/>
  <c r="AD63" i="2"/>
  <c r="AA63" i="2"/>
  <c r="X63" i="2"/>
  <c r="U63" i="2"/>
  <c r="R63" i="2"/>
  <c r="L63" i="2"/>
  <c r="I63" i="2"/>
  <c r="F63" i="2"/>
  <c r="AP60" i="2"/>
  <c r="AP59" i="2"/>
  <c r="AP58" i="2"/>
  <c r="AP56" i="2"/>
  <c r="AP55" i="2"/>
  <c r="AL53" i="2"/>
  <c r="AK53" i="2"/>
  <c r="AI53" i="2"/>
  <c r="AH53" i="2"/>
  <c r="AF53" i="2"/>
  <c r="AE53" i="2"/>
  <c r="AC53" i="2"/>
  <c r="AB53" i="2"/>
  <c r="Z53" i="2"/>
  <c r="Y53" i="2"/>
  <c r="W53" i="2"/>
  <c r="V53" i="2"/>
  <c r="T53" i="2"/>
  <c r="S53" i="2"/>
  <c r="Q53" i="2"/>
  <c r="P53" i="2"/>
  <c r="N53" i="2"/>
  <c r="M53" i="2"/>
  <c r="K53" i="2"/>
  <c r="J53" i="2"/>
  <c r="H53" i="2"/>
  <c r="G53" i="2"/>
  <c r="AM51" i="2"/>
  <c r="AJ51" i="2"/>
  <c r="AG51" i="2"/>
  <c r="AD51" i="2"/>
  <c r="AA51" i="2"/>
  <c r="X51" i="2"/>
  <c r="U51" i="2"/>
  <c r="R51" i="2"/>
  <c r="O51" i="2"/>
  <c r="U47" i="2"/>
  <c r="O47" i="2"/>
  <c r="AP48" i="2"/>
  <c r="AL47" i="2"/>
  <c r="AK47" i="2"/>
  <c r="AI47" i="2"/>
  <c r="AH47" i="2"/>
  <c r="AF47" i="2"/>
  <c r="AE47" i="2"/>
  <c r="AC47" i="2"/>
  <c r="AB47" i="2"/>
  <c r="Z47" i="2"/>
  <c r="Y47" i="2"/>
  <c r="W47" i="2"/>
  <c r="V47" i="2"/>
  <c r="T47" i="2"/>
  <c r="S47" i="2"/>
  <c r="R47" i="2"/>
  <c r="Q47" i="2"/>
  <c r="P47" i="2"/>
  <c r="N47" i="2"/>
  <c r="M47" i="2"/>
  <c r="L47" i="2"/>
  <c r="K47" i="2"/>
  <c r="J47" i="2"/>
  <c r="H47" i="2"/>
  <c r="G47" i="2"/>
  <c r="F47" i="2"/>
  <c r="L41" i="2"/>
  <c r="R41" i="2"/>
  <c r="F41" i="2"/>
  <c r="AL41" i="2"/>
  <c r="AK41" i="2"/>
  <c r="AI41" i="2"/>
  <c r="AH41" i="2"/>
  <c r="AF41" i="2"/>
  <c r="AE41" i="2"/>
  <c r="AC41" i="2"/>
  <c r="AB41" i="2"/>
  <c r="Z41" i="2"/>
  <c r="Y41" i="2"/>
  <c r="W41" i="2"/>
  <c r="V41" i="2"/>
  <c r="U41" i="2"/>
  <c r="T41" i="2"/>
  <c r="S41" i="2"/>
  <c r="Q41" i="2"/>
  <c r="P41" i="2"/>
  <c r="O41" i="2"/>
  <c r="N41" i="2"/>
  <c r="M41" i="2"/>
  <c r="K41" i="2"/>
  <c r="J41" i="2"/>
  <c r="I41" i="2"/>
  <c r="H41" i="2"/>
  <c r="G41" i="2"/>
  <c r="AP39" i="2"/>
  <c r="AP38" i="2"/>
  <c r="AP37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AP34" i="2"/>
  <c r="AP33" i="2"/>
  <c r="AP32" i="2"/>
  <c r="AP31" i="2"/>
  <c r="AP30" i="2"/>
  <c r="AP29" i="2"/>
  <c r="AP28" i="2"/>
  <c r="AP27" i="2"/>
  <c r="AP26" i="2"/>
  <c r="AP25" i="2"/>
  <c r="AP24" i="2"/>
  <c r="AP23" i="2"/>
  <c r="AP22" i="2"/>
  <c r="AP21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AO18" i="2"/>
  <c r="AN18" i="2"/>
  <c r="AL18" i="2"/>
  <c r="AK18" i="2"/>
  <c r="AI18" i="2"/>
  <c r="AH18" i="2"/>
  <c r="AF18" i="2"/>
  <c r="AE18" i="2"/>
  <c r="AC18" i="2"/>
  <c r="AB18" i="2"/>
  <c r="Z18" i="2"/>
  <c r="Y18" i="2"/>
  <c r="W18" i="2"/>
  <c r="V18" i="2"/>
  <c r="T18" i="2"/>
  <c r="S18" i="2"/>
  <c r="Q18" i="2"/>
  <c r="P18" i="2"/>
  <c r="N18" i="2"/>
  <c r="M18" i="2"/>
  <c r="K18" i="2"/>
  <c r="J18" i="2"/>
  <c r="H18" i="2"/>
  <c r="G18" i="2"/>
  <c r="AP17" i="2"/>
  <c r="AL16" i="2"/>
  <c r="AK16" i="2"/>
  <c r="AI16" i="2"/>
  <c r="AH16" i="2"/>
  <c r="AF16" i="2"/>
  <c r="AE16" i="2"/>
  <c r="AC16" i="2"/>
  <c r="AB16" i="2"/>
  <c r="Z16" i="2"/>
  <c r="Y16" i="2"/>
  <c r="W16" i="2"/>
  <c r="V16" i="2"/>
  <c r="T16" i="2"/>
  <c r="S16" i="2"/>
  <c r="Q16" i="2"/>
  <c r="P16" i="2"/>
  <c r="N16" i="2"/>
  <c r="M16" i="2"/>
  <c r="K16" i="2"/>
  <c r="J16" i="2"/>
  <c r="H16" i="2"/>
  <c r="G16" i="2"/>
  <c r="AP15" i="2"/>
  <c r="AP14" i="2"/>
  <c r="AP11" i="2"/>
  <c r="AP10" i="2"/>
  <c r="AP9" i="2"/>
  <c r="AP7" i="2"/>
  <c r="AO6" i="2"/>
  <c r="AN6" i="2"/>
  <c r="AL6" i="2"/>
  <c r="AK6" i="2"/>
  <c r="AI6" i="2"/>
  <c r="AH6" i="2"/>
  <c r="AF6" i="2"/>
  <c r="AE6" i="2"/>
  <c r="AC6" i="2"/>
  <c r="AB6" i="2"/>
  <c r="Z6" i="2"/>
  <c r="Y6" i="2"/>
  <c r="W6" i="2"/>
  <c r="V6" i="2"/>
  <c r="T6" i="2"/>
  <c r="S6" i="2"/>
  <c r="Q6" i="2"/>
  <c r="P6" i="2"/>
  <c r="N6" i="2"/>
  <c r="M6" i="2"/>
  <c r="K6" i="2"/>
  <c r="J6" i="2"/>
  <c r="H6" i="2"/>
  <c r="G6" i="2"/>
  <c r="AO4" i="2"/>
  <c r="AN4" i="2"/>
  <c r="E170" i="4" l="1"/>
  <c r="E173" i="4"/>
  <c r="E16" i="6" s="1"/>
  <c r="E32" i="6" s="1"/>
  <c r="D155" i="4"/>
  <c r="D156" i="4"/>
  <c r="D15" i="6" s="1"/>
  <c r="D31" i="6" s="1"/>
  <c r="V94" i="2"/>
  <c r="I94" i="2"/>
  <c r="N94" i="2"/>
  <c r="J94" i="2"/>
  <c r="M94" i="2"/>
  <c r="Y94" i="2"/>
  <c r="AK94" i="2"/>
  <c r="O94" i="2"/>
  <c r="AP51" i="2"/>
  <c r="AP65" i="2"/>
  <c r="F94" i="2"/>
  <c r="AD94" i="2"/>
  <c r="Q94" i="2"/>
  <c r="AC94" i="2"/>
  <c r="G94" i="2"/>
  <c r="S94" i="2"/>
  <c r="G155" i="4"/>
  <c r="G156" i="4"/>
  <c r="G153" i="4"/>
  <c r="E174" i="4"/>
  <c r="F155" i="4"/>
  <c r="F156" i="4"/>
  <c r="F153" i="4"/>
  <c r="I191" i="4"/>
  <c r="I244" i="4"/>
  <c r="I17" i="6"/>
  <c r="I33" i="6" s="1"/>
  <c r="I17" i="5"/>
  <c r="I40" i="5" s="1"/>
  <c r="AA94" i="2"/>
  <c r="AE94" i="2"/>
  <c r="AJ53" i="2"/>
  <c r="L53" i="2"/>
  <c r="AA53" i="2"/>
  <c r="AM53" i="2"/>
  <c r="AP54" i="2"/>
  <c r="R53" i="2"/>
  <c r="AD53" i="2"/>
  <c r="X53" i="2"/>
  <c r="O53" i="2"/>
  <c r="R94" i="2"/>
  <c r="AH94" i="2"/>
  <c r="AI94" i="2"/>
  <c r="Z94" i="2"/>
  <c r="P13" i="2"/>
  <c r="P4" i="2" s="1"/>
  <c r="Q13" i="2"/>
  <c r="Q4" i="2" s="1"/>
  <c r="AI13" i="2"/>
  <c r="AI4" i="2" s="1"/>
  <c r="AP82" i="2"/>
  <c r="W13" i="2"/>
  <c r="W4" i="2" s="1"/>
  <c r="K13" i="2"/>
  <c r="K4" i="2" s="1"/>
  <c r="AC13" i="2"/>
  <c r="AC4" i="2" s="1"/>
  <c r="AP36" i="2"/>
  <c r="J13" i="2"/>
  <c r="J4" i="2" s="1"/>
  <c r="AP72" i="2"/>
  <c r="AP96" i="2"/>
  <c r="AP118" i="2"/>
  <c r="AP123" i="2"/>
  <c r="AP129" i="2"/>
  <c r="AP144" i="2"/>
  <c r="H94" i="2"/>
  <c r="L94" i="2"/>
  <c r="P94" i="2"/>
  <c r="T94" i="2"/>
  <c r="X94" i="2"/>
  <c r="AB94" i="2"/>
  <c r="AF94" i="2"/>
  <c r="AJ94" i="2"/>
  <c r="AP138" i="2"/>
  <c r="V13" i="2"/>
  <c r="V4" i="2" s="1"/>
  <c r="G13" i="2"/>
  <c r="G4" i="2" s="1"/>
  <c r="M13" i="2"/>
  <c r="M4" i="2" s="1"/>
  <c r="S13" i="2"/>
  <c r="S4" i="2" s="1"/>
  <c r="Y13" i="2"/>
  <c r="Y4" i="2" s="1"/>
  <c r="AE13" i="2"/>
  <c r="AE4" i="2" s="1"/>
  <c r="AK13" i="2"/>
  <c r="AK4" i="2" s="1"/>
  <c r="H13" i="2"/>
  <c r="H4" i="2" s="1"/>
  <c r="N13" i="2"/>
  <c r="N4" i="2" s="1"/>
  <c r="Z13" i="2"/>
  <c r="Z4" i="2" s="1"/>
  <c r="AL13" i="2"/>
  <c r="AL4" i="2" s="1"/>
  <c r="AB13" i="2"/>
  <c r="AB4" i="2" s="1"/>
  <c r="AP20" i="2"/>
  <c r="T13" i="2"/>
  <c r="T4" i="2" s="1"/>
  <c r="AH13" i="2"/>
  <c r="AH4" i="2" s="1"/>
  <c r="AF13" i="2"/>
  <c r="AF4" i="2" s="1"/>
  <c r="I47" i="2"/>
  <c r="AP57" i="2"/>
  <c r="I53" i="2"/>
  <c r="U53" i="2"/>
  <c r="AG53" i="2"/>
  <c r="F53" i="2"/>
  <c r="AP63" i="2"/>
  <c r="AP108" i="2"/>
  <c r="AP61" i="2"/>
  <c r="E243" i="4" l="1"/>
  <c r="E16" i="5"/>
  <c r="E39" i="5" s="1"/>
  <c r="D242" i="4"/>
  <c r="D157" i="4"/>
  <c r="D160" i="4" s="1"/>
  <c r="D15" i="5"/>
  <c r="D38" i="5" s="1"/>
  <c r="F15" i="6"/>
  <c r="F15" i="5"/>
  <c r="F38" i="5" s="1"/>
  <c r="F157" i="4"/>
  <c r="F242" i="4"/>
  <c r="E177" i="4"/>
  <c r="I194" i="4"/>
  <c r="I211" i="4" s="1"/>
  <c r="G15" i="5"/>
  <c r="G38" i="5" s="1"/>
  <c r="G157" i="4"/>
  <c r="G15" i="6"/>
  <c r="G31" i="6" s="1"/>
  <c r="G242" i="4"/>
  <c r="AP94" i="2"/>
  <c r="AS129" i="2" s="1"/>
  <c r="AP53" i="2"/>
  <c r="E185" i="4" l="1"/>
  <c r="E187" i="4" s="1"/>
  <c r="D168" i="4"/>
  <c r="D170" i="4" s="1"/>
  <c r="AS138" i="2"/>
  <c r="AS123" i="2"/>
  <c r="I202" i="4"/>
  <c r="I207" i="4" s="1"/>
  <c r="I219" i="4" s="1"/>
  <c r="I221" i="4" s="1"/>
  <c r="G160" i="4"/>
  <c r="F31" i="6"/>
  <c r="F160" i="4"/>
  <c r="AS144" i="2"/>
  <c r="AS118" i="2"/>
  <c r="AS94" i="2"/>
  <c r="AS108" i="2"/>
  <c r="AS96" i="2"/>
  <c r="E189" i="4" l="1"/>
  <c r="E190" i="4"/>
  <c r="E244" i="4" s="1"/>
  <c r="D173" i="4"/>
  <c r="D243" i="4" s="1"/>
  <c r="D172" i="4"/>
  <c r="I204" i="4"/>
  <c r="I206" i="4"/>
  <c r="I18" i="6"/>
  <c r="I34" i="6" s="1"/>
  <c r="I35" i="6" s="1"/>
  <c r="I18" i="5"/>
  <c r="I41" i="5" s="1"/>
  <c r="I42" i="5" s="1"/>
  <c r="I245" i="4"/>
  <c r="I247" i="4" s="1"/>
  <c r="F168" i="4"/>
  <c r="G168" i="4"/>
  <c r="AD16" i="2"/>
  <c r="AD6" i="2"/>
  <c r="AD18" i="2"/>
  <c r="O16" i="2"/>
  <c r="O6" i="2"/>
  <c r="O18" i="2"/>
  <c r="X18" i="2"/>
  <c r="X16" i="2"/>
  <c r="X6" i="2"/>
  <c r="AM16" i="2"/>
  <c r="AM6" i="2"/>
  <c r="AM18" i="2"/>
  <c r="AA16" i="2"/>
  <c r="AA6" i="2"/>
  <c r="AA18" i="2"/>
  <c r="R16" i="2"/>
  <c r="R6" i="2"/>
  <c r="R18" i="2"/>
  <c r="I18" i="2"/>
  <c r="I16" i="2"/>
  <c r="I6" i="2"/>
  <c r="F16" i="2"/>
  <c r="F6" i="2"/>
  <c r="F18" i="2"/>
  <c r="AJ18" i="2"/>
  <c r="AJ16" i="2"/>
  <c r="AJ6" i="2"/>
  <c r="L18" i="2"/>
  <c r="L16" i="2"/>
  <c r="L6" i="2"/>
  <c r="D174" i="4" l="1"/>
  <c r="D177" i="4" s="1"/>
  <c r="D16" i="5"/>
  <c r="D39" i="5" s="1"/>
  <c r="D16" i="6"/>
  <c r="D32" i="6" s="1"/>
  <c r="E191" i="4"/>
  <c r="E194" i="4" s="1"/>
  <c r="E17" i="6"/>
  <c r="E33" i="6" s="1"/>
  <c r="E17" i="5"/>
  <c r="E40" i="5" s="1"/>
  <c r="G172" i="4"/>
  <c r="G173" i="4"/>
  <c r="G170" i="4"/>
  <c r="I224" i="4"/>
  <c r="F172" i="4"/>
  <c r="F170" i="4"/>
  <c r="F173" i="4"/>
  <c r="I13" i="2"/>
  <c r="X13" i="2"/>
  <c r="R13" i="2"/>
  <c r="AJ13" i="2"/>
  <c r="O13" i="2"/>
  <c r="L13" i="2"/>
  <c r="F13" i="2"/>
  <c r="F4" i="2" s="1"/>
  <c r="AM13" i="2"/>
  <c r="AA13" i="2"/>
  <c r="AD13" i="2"/>
  <c r="E200" i="4" l="1"/>
  <c r="E217" i="4" s="1"/>
  <c r="J217" i="4" s="1"/>
  <c r="E211" i="4"/>
  <c r="I19" i="6"/>
  <c r="I226" i="4"/>
  <c r="I232" i="4"/>
  <c r="I19" i="5"/>
  <c r="G16" i="6"/>
  <c r="G32" i="6" s="1"/>
  <c r="G16" i="5"/>
  <c r="G39" i="5" s="1"/>
  <c r="G174" i="4"/>
  <c r="G243" i="4"/>
  <c r="F174" i="4"/>
  <c r="F243" i="4"/>
  <c r="F16" i="6"/>
  <c r="F16" i="5"/>
  <c r="D185" i="4"/>
  <c r="R4" i="2"/>
  <c r="R90" i="2" s="1"/>
  <c r="L4" i="2"/>
  <c r="L90" i="2" s="1"/>
  <c r="O4" i="2"/>
  <c r="O90" i="2" s="1"/>
  <c r="I4" i="2"/>
  <c r="I90" i="2" s="1"/>
  <c r="F90" i="2"/>
  <c r="E202" i="4" l="1"/>
  <c r="E206" i="4" s="1"/>
  <c r="J200" i="4"/>
  <c r="F39" i="5"/>
  <c r="G177" i="4"/>
  <c r="F32" i="6"/>
  <c r="D189" i="4"/>
  <c r="D187" i="4"/>
  <c r="D190" i="4"/>
  <c r="F177" i="4"/>
  <c r="U18" i="2"/>
  <c r="U16" i="2"/>
  <c r="U6" i="2"/>
  <c r="E207" i="4" l="1"/>
  <c r="E219" i="4" s="1"/>
  <c r="E221" i="4" s="1"/>
  <c r="E204" i="4"/>
  <c r="F185" i="4"/>
  <c r="F189" i="4" s="1"/>
  <c r="J199" i="4"/>
  <c r="D17" i="5"/>
  <c r="D17" i="6"/>
  <c r="D244" i="4"/>
  <c r="D191" i="4"/>
  <c r="G185" i="4"/>
  <c r="U13" i="2"/>
  <c r="U4" i="2" s="1"/>
  <c r="E245" i="4" l="1"/>
  <c r="E247" i="4" s="1"/>
  <c r="E18" i="5"/>
  <c r="E41" i="5" s="1"/>
  <c r="E42" i="5" s="1"/>
  <c r="E18" i="6"/>
  <c r="E34" i="6" s="1"/>
  <c r="E35" i="6" s="1"/>
  <c r="F187" i="4"/>
  <c r="F190" i="4"/>
  <c r="F17" i="6" s="1"/>
  <c r="F33" i="6" s="1"/>
  <c r="D40" i="5"/>
  <c r="G189" i="4"/>
  <c r="G187" i="4"/>
  <c r="G190" i="4"/>
  <c r="D194" i="4"/>
  <c r="D211" i="4" s="1"/>
  <c r="D33" i="6"/>
  <c r="E224" i="4"/>
  <c r="U90" i="2"/>
  <c r="F244" i="4" l="1"/>
  <c r="F191" i="4"/>
  <c r="F194" i="4" s="1"/>
  <c r="F211" i="4" s="1"/>
  <c r="F17" i="5"/>
  <c r="F40" i="5" s="1"/>
  <c r="G17" i="5"/>
  <c r="G40" i="5" s="1"/>
  <c r="G244" i="4"/>
  <c r="G191" i="4"/>
  <c r="G17" i="6"/>
  <c r="E19" i="6"/>
  <c r="E226" i="4"/>
  <c r="E19" i="5"/>
  <c r="E232" i="4"/>
  <c r="D202" i="4"/>
  <c r="AG18" i="2"/>
  <c r="AP18" i="2" s="1"/>
  <c r="AG16" i="2"/>
  <c r="AG6" i="2"/>
  <c r="AP6" i="2" s="1"/>
  <c r="AP8" i="2"/>
  <c r="D204" i="4" l="1"/>
  <c r="D207" i="4"/>
  <c r="D219" i="4" s="1"/>
  <c r="D221" i="4" s="1"/>
  <c r="D206" i="4"/>
  <c r="G33" i="6"/>
  <c r="G194" i="4"/>
  <c r="G211" i="4" s="1"/>
  <c r="AS8" i="2"/>
  <c r="AS6" i="2"/>
  <c r="AS9" i="2"/>
  <c r="AS10" i="2"/>
  <c r="AS11" i="2"/>
  <c r="AS7" i="2"/>
  <c r="AG13" i="2"/>
  <c r="AP16" i="2"/>
  <c r="J125" i="4" l="1"/>
  <c r="C134" i="4"/>
  <c r="G202" i="4"/>
  <c r="D245" i="4"/>
  <c r="D18" i="6"/>
  <c r="D18" i="5"/>
  <c r="AP13" i="2"/>
  <c r="C138" i="4" l="1"/>
  <c r="C136" i="4"/>
  <c r="C139" i="4"/>
  <c r="D41" i="5"/>
  <c r="D42" i="5" s="1"/>
  <c r="D247" i="4"/>
  <c r="D34" i="6"/>
  <c r="G206" i="4"/>
  <c r="G207" i="4"/>
  <c r="G219" i="4" s="1"/>
  <c r="G221" i="4" s="1"/>
  <c r="G204" i="4"/>
  <c r="D224" i="4"/>
  <c r="C140" i="4" l="1"/>
  <c r="C143" i="4" s="1"/>
  <c r="C14" i="5"/>
  <c r="C37" i="5" s="1"/>
  <c r="C14" i="6"/>
  <c r="C30" i="6" s="1"/>
  <c r="C241" i="4"/>
  <c r="D19" i="6"/>
  <c r="D232" i="4"/>
  <c r="D19" i="5"/>
  <c r="D226" i="4"/>
  <c r="D35" i="6"/>
  <c r="G18" i="5"/>
  <c r="G245" i="4"/>
  <c r="G247" i="4" s="1"/>
  <c r="G18" i="6"/>
  <c r="C151" i="4" l="1"/>
  <c r="G41" i="5"/>
  <c r="G42" i="5" s="1"/>
  <c r="G224" i="4"/>
  <c r="G34" i="6"/>
  <c r="C153" i="4" l="1"/>
  <c r="C155" i="4"/>
  <c r="C156" i="4"/>
  <c r="G35" i="6"/>
  <c r="G19" i="6"/>
  <c r="G232" i="4"/>
  <c r="G19" i="5"/>
  <c r="G226" i="4"/>
  <c r="C15" i="6" l="1"/>
  <c r="C31" i="6" s="1"/>
  <c r="C15" i="5"/>
  <c r="C38" i="5" s="1"/>
  <c r="C242" i="4"/>
  <c r="C157" i="4"/>
  <c r="C160" i="4" s="1"/>
  <c r="H117" i="4"/>
  <c r="J114" i="4"/>
  <c r="C168" i="4" l="1"/>
  <c r="H119" i="4"/>
  <c r="J119" i="4" s="1"/>
  <c r="J117" i="4"/>
  <c r="H122" i="4"/>
  <c r="H121" i="4"/>
  <c r="J121" i="4" s="1"/>
  <c r="J110" i="4"/>
  <c r="M3" i="8" s="1"/>
  <c r="C172" i="4" l="1"/>
  <c r="C170" i="4"/>
  <c r="C173" i="4"/>
  <c r="T3" i="8"/>
  <c r="M5" i="8"/>
  <c r="X89" i="2"/>
  <c r="I5" i="10"/>
  <c r="J122" i="4"/>
  <c r="H240" i="4"/>
  <c r="J240" i="4" s="1"/>
  <c r="H13" i="6"/>
  <c r="H13" i="5"/>
  <c r="H123" i="4"/>
  <c r="I105" i="10" l="1"/>
  <c r="I127" i="10"/>
  <c r="I126" i="10" s="1"/>
  <c r="C243" i="4"/>
  <c r="C16" i="5"/>
  <c r="C39" i="5" s="1"/>
  <c r="C16" i="6"/>
  <c r="C32" i="6" s="1"/>
  <c r="C174" i="4"/>
  <c r="C177" i="4" s="1"/>
  <c r="J186" i="6"/>
  <c r="G47" i="6" s="1"/>
  <c r="H29" i="6"/>
  <c r="J190" i="6"/>
  <c r="K47" i="6" s="1"/>
  <c r="J189" i="6"/>
  <c r="J47" i="6" s="1"/>
  <c r="J196" i="6"/>
  <c r="J193" i="6"/>
  <c r="J192" i="6"/>
  <c r="M47" i="6" s="1"/>
  <c r="J187" i="6"/>
  <c r="H47" i="6" s="1"/>
  <c r="J188" i="6"/>
  <c r="I47" i="6" s="1"/>
  <c r="J194" i="6"/>
  <c r="J197" i="6"/>
  <c r="J182" i="6"/>
  <c r="J184" i="6"/>
  <c r="E47" i="6" s="1"/>
  <c r="J195" i="6"/>
  <c r="J183" i="6"/>
  <c r="D47" i="6" s="1"/>
  <c r="J191" i="6"/>
  <c r="L47" i="6" s="1"/>
  <c r="J185" i="6"/>
  <c r="F47" i="6" s="1"/>
  <c r="J187" i="5"/>
  <c r="H53" i="5" s="1"/>
  <c r="J190" i="5"/>
  <c r="J189" i="5"/>
  <c r="J194" i="5"/>
  <c r="J185" i="5"/>
  <c r="F53" i="5" s="1"/>
  <c r="J186" i="5"/>
  <c r="G53" i="5" s="1"/>
  <c r="J195" i="5"/>
  <c r="J192" i="5"/>
  <c r="J188" i="5"/>
  <c r="I53" i="5" s="1"/>
  <c r="J191" i="5"/>
  <c r="J183" i="5"/>
  <c r="J193" i="5"/>
  <c r="H36" i="5"/>
  <c r="J182" i="5"/>
  <c r="J184" i="5"/>
  <c r="I9" i="10"/>
  <c r="I8" i="10"/>
  <c r="I11" i="10"/>
  <c r="I6" i="10"/>
  <c r="I12" i="10"/>
  <c r="H126" i="4"/>
  <c r="J123" i="4"/>
  <c r="J13" i="6"/>
  <c r="J13" i="5"/>
  <c r="H134" i="4" l="1"/>
  <c r="H139" i="4" s="1"/>
  <c r="I24" i="5"/>
  <c r="C185" i="4"/>
  <c r="E53" i="5"/>
  <c r="I52" i="10"/>
  <c r="J198" i="6"/>
  <c r="C47" i="6"/>
  <c r="J196" i="5"/>
  <c r="C53" i="5"/>
  <c r="I22" i="5"/>
  <c r="X44" i="2"/>
  <c r="I51" i="10"/>
  <c r="X45" i="2"/>
  <c r="J36" i="5"/>
  <c r="J29" i="6"/>
  <c r="D53" i="5"/>
  <c r="I23" i="5"/>
  <c r="J126" i="4"/>
  <c r="X42" i="2"/>
  <c r="I49" i="10"/>
  <c r="H138" i="4" l="1"/>
  <c r="J138" i="4" s="1"/>
  <c r="AA89" i="2" s="1"/>
  <c r="H136" i="4"/>
  <c r="J136" i="4" s="1"/>
  <c r="J134" i="4"/>
  <c r="C189" i="4"/>
  <c r="C190" i="4"/>
  <c r="C187" i="4"/>
  <c r="J139" i="4"/>
  <c r="H14" i="5"/>
  <c r="H14" i="6"/>
  <c r="H241" i="4"/>
  <c r="J241" i="4" s="1"/>
  <c r="H140" i="4"/>
  <c r="I56" i="10"/>
  <c r="X49" i="2"/>
  <c r="I25" i="5"/>
  <c r="I55" i="10"/>
  <c r="X43" i="2"/>
  <c r="X41" i="2" s="1"/>
  <c r="S47" i="6"/>
  <c r="I50" i="10"/>
  <c r="I48" i="10" s="1"/>
  <c r="I57" i="10"/>
  <c r="J53" i="5"/>
  <c r="J5" i="10" l="1"/>
  <c r="J11" i="10" s="1"/>
  <c r="J105" i="10"/>
  <c r="C191" i="4"/>
  <c r="C17" i="6"/>
  <c r="C33" i="6" s="1"/>
  <c r="C244" i="4"/>
  <c r="C17" i="5"/>
  <c r="C40" i="5" s="1"/>
  <c r="X47" i="2"/>
  <c r="X4" i="2" s="1"/>
  <c r="X90" i="2" s="1"/>
  <c r="J206" i="6"/>
  <c r="G48" i="6" s="1"/>
  <c r="J205" i="6"/>
  <c r="F48" i="6" s="1"/>
  <c r="J213" i="6"/>
  <c r="J202" i="6"/>
  <c r="H30" i="6"/>
  <c r="J215" i="6"/>
  <c r="J212" i="6"/>
  <c r="M48" i="6" s="1"/>
  <c r="J208" i="6"/>
  <c r="I48" i="6" s="1"/>
  <c r="J210" i="6"/>
  <c r="K48" i="6" s="1"/>
  <c r="J214" i="6"/>
  <c r="J216" i="6"/>
  <c r="J203" i="6"/>
  <c r="D48" i="6" s="1"/>
  <c r="J209" i="6"/>
  <c r="J48" i="6" s="1"/>
  <c r="J217" i="6"/>
  <c r="J207" i="6"/>
  <c r="H48" i="6" s="1"/>
  <c r="J211" i="6"/>
  <c r="L48" i="6" s="1"/>
  <c r="J204" i="6"/>
  <c r="E48" i="6" s="1"/>
  <c r="J8" i="10"/>
  <c r="J6" i="10"/>
  <c r="J203" i="5"/>
  <c r="F54" i="5" s="1"/>
  <c r="J202" i="5"/>
  <c r="J213" i="5"/>
  <c r="J201" i="5"/>
  <c r="J205" i="5"/>
  <c r="H54" i="5" s="1"/>
  <c r="J207" i="5"/>
  <c r="J208" i="5"/>
  <c r="H37" i="5"/>
  <c r="J211" i="5"/>
  <c r="J210" i="5"/>
  <c r="J200" i="5"/>
  <c r="J206" i="5"/>
  <c r="I54" i="5" s="1"/>
  <c r="J209" i="5"/>
  <c r="J204" i="5"/>
  <c r="G54" i="5" s="1"/>
  <c r="J212" i="5"/>
  <c r="I54" i="10"/>
  <c r="I34" i="10" s="1"/>
  <c r="H143" i="4"/>
  <c r="J140" i="4"/>
  <c r="J14" i="6"/>
  <c r="J14" i="5"/>
  <c r="J12" i="10" l="1"/>
  <c r="J127" i="10"/>
  <c r="J126" i="10" s="1"/>
  <c r="J9" i="10"/>
  <c r="H151" i="4"/>
  <c r="H153" i="4" s="1"/>
  <c r="J153" i="4" s="1"/>
  <c r="C194" i="4"/>
  <c r="C211" i="4" s="1"/>
  <c r="I7" i="10"/>
  <c r="AA45" i="2"/>
  <c r="J143" i="4"/>
  <c r="J52" i="10"/>
  <c r="J51" i="10"/>
  <c r="AA44" i="2"/>
  <c r="J218" i="6"/>
  <c r="C48" i="6"/>
  <c r="J30" i="6"/>
  <c r="J37" i="5"/>
  <c r="D54" i="5"/>
  <c r="J23" i="5"/>
  <c r="J24" i="5"/>
  <c r="E54" i="5"/>
  <c r="AA42" i="2"/>
  <c r="J49" i="10"/>
  <c r="C54" i="5"/>
  <c r="J214" i="5"/>
  <c r="J22" i="5"/>
  <c r="J151" i="4" l="1"/>
  <c r="H155" i="4"/>
  <c r="J155" i="4" s="1"/>
  <c r="K5" i="10" s="1"/>
  <c r="H156" i="4"/>
  <c r="H157" i="4" s="1"/>
  <c r="C202" i="4"/>
  <c r="C207" i="4" s="1"/>
  <c r="C219" i="4" s="1"/>
  <c r="C221" i="4" s="1"/>
  <c r="J25" i="5"/>
  <c r="J55" i="10"/>
  <c r="J50" i="10"/>
  <c r="AA43" i="2"/>
  <c r="S48" i="6"/>
  <c r="J54" i="5"/>
  <c r="AA49" i="2"/>
  <c r="J57" i="10"/>
  <c r="J56" i="10"/>
  <c r="J156" i="4" l="1"/>
  <c r="J15" i="5" s="1"/>
  <c r="H15" i="6"/>
  <c r="H31" i="6" s="1"/>
  <c r="H15" i="5"/>
  <c r="J219" i="5" s="1"/>
  <c r="H242" i="4"/>
  <c r="J242" i="4" s="1"/>
  <c r="AD89" i="2"/>
  <c r="K105" i="10"/>
  <c r="K127" i="10"/>
  <c r="K126" i="10" s="1"/>
  <c r="C204" i="4"/>
  <c r="C206" i="4"/>
  <c r="C245" i="4"/>
  <c r="C247" i="4" s="1"/>
  <c r="C18" i="6"/>
  <c r="C34" i="6" s="1"/>
  <c r="C35" i="6" s="1"/>
  <c r="C18" i="5"/>
  <c r="C41" i="5" s="1"/>
  <c r="C42" i="5" s="1"/>
  <c r="AA47" i="2"/>
  <c r="H160" i="4"/>
  <c r="J224" i="6"/>
  <c r="E49" i="6" s="1"/>
  <c r="J235" i="6"/>
  <c r="J222" i="6"/>
  <c r="J225" i="6"/>
  <c r="F49" i="6" s="1"/>
  <c r="J234" i="6"/>
  <c r="J236" i="6"/>
  <c r="J224" i="5"/>
  <c r="I55" i="5" s="1"/>
  <c r="J225" i="5"/>
  <c r="J218" i="5"/>
  <c r="J157" i="4"/>
  <c r="AA41" i="2"/>
  <c r="J54" i="10"/>
  <c r="J48" i="10"/>
  <c r="K12" i="10"/>
  <c r="K9" i="10"/>
  <c r="K8" i="10"/>
  <c r="K6" i="10"/>
  <c r="K11" i="10"/>
  <c r="J237" i="6" l="1"/>
  <c r="J15" i="6"/>
  <c r="J229" i="5"/>
  <c r="J227" i="5"/>
  <c r="J226" i="5"/>
  <c r="J223" i="5"/>
  <c r="H55" i="5" s="1"/>
  <c r="H38" i="5"/>
  <c r="J38" i="5" s="1"/>
  <c r="J233" i="6"/>
  <c r="J231" i="5"/>
  <c r="J228" i="5"/>
  <c r="J227" i="6"/>
  <c r="H49" i="6" s="1"/>
  <c r="J223" i="6"/>
  <c r="D49" i="6" s="1"/>
  <c r="K51" i="10" s="1"/>
  <c r="J232" i="6"/>
  <c r="M49" i="6" s="1"/>
  <c r="J231" i="6"/>
  <c r="L49" i="6" s="1"/>
  <c r="K52" i="10" s="1"/>
  <c r="J220" i="5"/>
  <c r="J230" i="5"/>
  <c r="J221" i="5"/>
  <c r="F55" i="5" s="1"/>
  <c r="J226" i="6"/>
  <c r="G49" i="6" s="1"/>
  <c r="J222" i="5"/>
  <c r="G55" i="5" s="1"/>
  <c r="J228" i="6"/>
  <c r="I49" i="6" s="1"/>
  <c r="J229" i="6"/>
  <c r="J49" i="6" s="1"/>
  <c r="J230" i="6"/>
  <c r="K49" i="6" s="1"/>
  <c r="AD45" i="2" s="1"/>
  <c r="H168" i="4"/>
  <c r="J168" i="4" s="1"/>
  <c r="C224" i="4"/>
  <c r="AA4" i="2"/>
  <c r="AA90" i="2" s="1"/>
  <c r="J160" i="4"/>
  <c r="K22" i="5"/>
  <c r="C55" i="5"/>
  <c r="C49" i="6"/>
  <c r="J31" i="6"/>
  <c r="J34" i="10"/>
  <c r="K23" i="5"/>
  <c r="D55" i="5"/>
  <c r="K49" i="10" l="1"/>
  <c r="AD42" i="2"/>
  <c r="K24" i="5"/>
  <c r="K57" i="10" s="1"/>
  <c r="J232" i="5"/>
  <c r="E55" i="5"/>
  <c r="J55" i="5" s="1"/>
  <c r="J238" i="6"/>
  <c r="AD44" i="2"/>
  <c r="H172" i="4"/>
  <c r="J172" i="4" s="1"/>
  <c r="AG89" i="2" s="1"/>
  <c r="H170" i="4"/>
  <c r="J170" i="4" s="1"/>
  <c r="H173" i="4"/>
  <c r="H243" i="4" s="1"/>
  <c r="J243" i="4" s="1"/>
  <c r="C19" i="6"/>
  <c r="C19" i="5"/>
  <c r="C226" i="4"/>
  <c r="C232" i="4"/>
  <c r="K55" i="10"/>
  <c r="J7" i="10"/>
  <c r="K56" i="10"/>
  <c r="S49" i="6"/>
  <c r="AD43" i="2"/>
  <c r="K50" i="10"/>
  <c r="K48" i="10" s="1"/>
  <c r="AD49" i="2"/>
  <c r="K25" i="5" l="1"/>
  <c r="H16" i="6"/>
  <c r="J251" i="6" s="1"/>
  <c r="L50" i="6" s="1"/>
  <c r="H174" i="4"/>
  <c r="H177" i="4" s="1"/>
  <c r="H16" i="5"/>
  <c r="H39" i="5" s="1"/>
  <c r="J173" i="4"/>
  <c r="J16" i="5" s="1"/>
  <c r="L5" i="10"/>
  <c r="L127" i="10" s="1"/>
  <c r="L126" i="10" s="1"/>
  <c r="AD41" i="2"/>
  <c r="AD47" i="2"/>
  <c r="K54" i="10"/>
  <c r="J246" i="5" l="1"/>
  <c r="J243" i="5"/>
  <c r="J174" i="4"/>
  <c r="J247" i="5"/>
  <c r="J241" i="5"/>
  <c r="H56" i="5" s="1"/>
  <c r="J239" i="5"/>
  <c r="F56" i="5" s="1"/>
  <c r="J16" i="6"/>
  <c r="L12" i="10"/>
  <c r="L6" i="10"/>
  <c r="L9" i="10"/>
  <c r="J244" i="5"/>
  <c r="J236" i="5"/>
  <c r="L22" i="5" s="1"/>
  <c r="H32" i="6"/>
  <c r="J32" i="6" s="1"/>
  <c r="J255" i="6"/>
  <c r="J254" i="6"/>
  <c r="J248" i="6"/>
  <c r="I50" i="6" s="1"/>
  <c r="J253" i="6"/>
  <c r="J257" i="6"/>
  <c r="J250" i="6"/>
  <c r="K50" i="6" s="1"/>
  <c r="AG45" i="2" s="1"/>
  <c r="J252" i="6"/>
  <c r="M50" i="6" s="1"/>
  <c r="J244" i="6"/>
  <c r="E50" i="6" s="1"/>
  <c r="J242" i="6"/>
  <c r="C50" i="6" s="1"/>
  <c r="J245" i="6"/>
  <c r="F50" i="6" s="1"/>
  <c r="J256" i="6"/>
  <c r="J246" i="6"/>
  <c r="G50" i="6" s="1"/>
  <c r="J243" i="6"/>
  <c r="D50" i="6" s="1"/>
  <c r="L51" i="10" s="1"/>
  <c r="J247" i="6"/>
  <c r="H50" i="6" s="1"/>
  <c r="J249" i="6"/>
  <c r="J50" i="6" s="1"/>
  <c r="L8" i="10"/>
  <c r="L11" i="10"/>
  <c r="J245" i="5"/>
  <c r="J238" i="5"/>
  <c r="E56" i="5" s="1"/>
  <c r="J242" i="5"/>
  <c r="I56" i="5" s="1"/>
  <c r="J249" i="5"/>
  <c r="J248" i="5"/>
  <c r="J240" i="5"/>
  <c r="G56" i="5" s="1"/>
  <c r="J237" i="5"/>
  <c r="L23" i="5" s="1"/>
  <c r="L105" i="10"/>
  <c r="H185" i="4"/>
  <c r="J185" i="4" s="1"/>
  <c r="AD4" i="2"/>
  <c r="AD90" i="2" s="1"/>
  <c r="L52" i="10"/>
  <c r="J39" i="5"/>
  <c r="J177" i="4"/>
  <c r="K34" i="10"/>
  <c r="C56" i="5" l="1"/>
  <c r="AG44" i="2"/>
  <c r="L49" i="10"/>
  <c r="J258" i="6"/>
  <c r="AG42" i="2"/>
  <c r="D56" i="5"/>
  <c r="J250" i="5"/>
  <c r="L24" i="5"/>
  <c r="L57" i="10" s="1"/>
  <c r="H190" i="4"/>
  <c r="H17" i="5" s="1"/>
  <c r="H187" i="4"/>
  <c r="J187" i="4" s="1"/>
  <c r="H189" i="4"/>
  <c r="J189" i="4" s="1"/>
  <c r="M5" i="10" s="1"/>
  <c r="L56" i="10"/>
  <c r="L55" i="10"/>
  <c r="L50" i="10"/>
  <c r="AG43" i="2"/>
  <c r="S50" i="6"/>
  <c r="K7" i="10"/>
  <c r="AG49" i="2"/>
  <c r="J56" i="5" l="1"/>
  <c r="AG41" i="2"/>
  <c r="L25" i="5"/>
  <c r="H17" i="6"/>
  <c r="J266" i="6" s="1"/>
  <c r="G51" i="6" s="1"/>
  <c r="J190" i="4"/>
  <c r="J191" i="4" s="1"/>
  <c r="AJ89" i="2"/>
  <c r="H244" i="4"/>
  <c r="J244" i="4" s="1"/>
  <c r="H191" i="4"/>
  <c r="H194" i="4" s="1"/>
  <c r="H211" i="4" s="1"/>
  <c r="J211" i="4" s="1"/>
  <c r="M127" i="10"/>
  <c r="M126" i="10" s="1"/>
  <c r="M105" i="10"/>
  <c r="L54" i="10"/>
  <c r="L48" i="10"/>
  <c r="AG47" i="2"/>
  <c r="M12" i="10"/>
  <c r="M8" i="10"/>
  <c r="M9" i="10"/>
  <c r="M11" i="10"/>
  <c r="M6" i="10"/>
  <c r="J257" i="5"/>
  <c r="F57" i="5" s="1"/>
  <c r="J260" i="5"/>
  <c r="I57" i="5" s="1"/>
  <c r="J258" i="5"/>
  <c r="G57" i="5" s="1"/>
  <c r="H40" i="5"/>
  <c r="J256" i="5"/>
  <c r="J267" i="5"/>
  <c r="J266" i="5"/>
  <c r="J259" i="5"/>
  <c r="H57" i="5" s="1"/>
  <c r="J262" i="5"/>
  <c r="J263" i="5"/>
  <c r="J255" i="5"/>
  <c r="J264" i="5"/>
  <c r="J261" i="5"/>
  <c r="J265" i="5"/>
  <c r="J254" i="5"/>
  <c r="J265" i="6"/>
  <c r="F51" i="6" s="1"/>
  <c r="J268" i="6"/>
  <c r="I51" i="6" s="1"/>
  <c r="J273" i="6"/>
  <c r="J269" i="6" l="1"/>
  <c r="K51" i="6" s="1"/>
  <c r="J272" i="6"/>
  <c r="M51" i="6" s="1"/>
  <c r="J276" i="6"/>
  <c r="J275" i="6"/>
  <c r="J270" i="6"/>
  <c r="L51" i="6" s="1"/>
  <c r="M52" i="10" s="1"/>
  <c r="J263" i="6"/>
  <c r="D51" i="6" s="1"/>
  <c r="M51" i="10" s="1"/>
  <c r="J264" i="6"/>
  <c r="E51" i="6" s="1"/>
  <c r="J274" i="6"/>
  <c r="J262" i="6"/>
  <c r="C51" i="6" s="1"/>
  <c r="J267" i="6"/>
  <c r="H51" i="6" s="1"/>
  <c r="H33" i="6"/>
  <c r="J33" i="6" s="1"/>
  <c r="J277" i="6"/>
  <c r="J271" i="6"/>
  <c r="J17" i="5"/>
  <c r="J17" i="6"/>
  <c r="M23" i="5"/>
  <c r="D57" i="5"/>
  <c r="L34" i="10"/>
  <c r="M22" i="5"/>
  <c r="C57" i="5"/>
  <c r="J268" i="5"/>
  <c r="J194" i="4"/>
  <c r="E57" i="5"/>
  <c r="M24" i="5"/>
  <c r="AG4" i="2"/>
  <c r="AG90" i="2" s="1"/>
  <c r="J40" i="5"/>
  <c r="H202" i="4"/>
  <c r="J51" i="6" l="1"/>
  <c r="S51" i="6" s="1"/>
  <c r="AJ42" i="2"/>
  <c r="M49" i="10"/>
  <c r="J278" i="6"/>
  <c r="M55" i="10"/>
  <c r="M25" i="5"/>
  <c r="H204" i="4"/>
  <c r="H206" i="4"/>
  <c r="H207" i="4"/>
  <c r="M57" i="10"/>
  <c r="L7" i="10"/>
  <c r="M56" i="10"/>
  <c r="AJ45" i="2"/>
  <c r="M50" i="10"/>
  <c r="AJ43" i="2"/>
  <c r="AJ49" i="2"/>
  <c r="J57" i="5"/>
  <c r="H219" i="4" l="1"/>
  <c r="H221" i="4" s="1"/>
  <c r="AJ44" i="2"/>
  <c r="AJ41" i="2" s="1"/>
  <c r="AJ47" i="2"/>
  <c r="AP49" i="2"/>
  <c r="M54" i="10"/>
  <c r="H245" i="4"/>
  <c r="H18" i="5"/>
  <c r="H18" i="6"/>
  <c r="M48" i="10"/>
  <c r="H224" i="4" l="1"/>
  <c r="H41" i="5"/>
  <c r="M34" i="10"/>
  <c r="H247" i="4"/>
  <c r="AJ4" i="2"/>
  <c r="AJ90" i="2" s="1"/>
  <c r="H34" i="6"/>
  <c r="H42" i="5" l="1"/>
  <c r="H35" i="6"/>
  <c r="M7" i="10"/>
  <c r="H19" i="6"/>
  <c r="H226" i="4"/>
  <c r="H19" i="5"/>
  <c r="H232" i="4"/>
  <c r="F202" i="4" l="1"/>
  <c r="F206" i="4" s="1"/>
  <c r="J206" i="4" s="1"/>
  <c r="J196" i="4"/>
  <c r="R4" i="8" s="1"/>
  <c r="T4" i="8" s="1"/>
  <c r="T5" i="8" s="1"/>
  <c r="N5" i="10" l="1"/>
  <c r="AM89" i="2"/>
  <c r="R5" i="8"/>
  <c r="F207" i="4"/>
  <c r="F219" i="4" s="1"/>
  <c r="F221" i="4" s="1"/>
  <c r="J221" i="4" s="1"/>
  <c r="J202" i="4"/>
  <c r="F204" i="4"/>
  <c r="J204" i="4" s="1"/>
  <c r="N127" i="10" l="1"/>
  <c r="R127" i="10" s="1"/>
  <c r="R110" i="10"/>
  <c r="J207" i="4"/>
  <c r="J219" i="4" s="1"/>
  <c r="F245" i="4"/>
  <c r="F18" i="5"/>
  <c r="F18" i="6"/>
  <c r="N8" i="10"/>
  <c r="O8" i="10" s="1"/>
  <c r="N11" i="10"/>
  <c r="O11" i="10" s="1"/>
  <c r="N9" i="10"/>
  <c r="O9" i="10" s="1"/>
  <c r="N12" i="10"/>
  <c r="O12" i="10" s="1"/>
  <c r="N6" i="10"/>
  <c r="R33" i="10"/>
  <c r="R44" i="10"/>
  <c r="R213" i="10"/>
  <c r="R178" i="10"/>
  <c r="R77" i="10"/>
  <c r="R208" i="10"/>
  <c r="R99" i="10"/>
  <c r="R74" i="10"/>
  <c r="R88" i="10"/>
  <c r="R87" i="10"/>
  <c r="R219" i="10"/>
  <c r="R109" i="10"/>
  <c r="R116" i="10"/>
  <c r="R47" i="10"/>
  <c r="R64" i="10"/>
  <c r="R154" i="10"/>
  <c r="R37" i="10"/>
  <c r="R174" i="10"/>
  <c r="R39" i="10"/>
  <c r="R158" i="10"/>
  <c r="R201" i="10"/>
  <c r="R30" i="10"/>
  <c r="R176" i="10"/>
  <c r="R59" i="10"/>
  <c r="R122" i="10"/>
  <c r="R143" i="10"/>
  <c r="R31" i="10"/>
  <c r="R229" i="10"/>
  <c r="R190" i="10"/>
  <c r="R84" i="10"/>
  <c r="R136" i="10"/>
  <c r="R81" i="10"/>
  <c r="R65" i="10"/>
  <c r="R46" i="10"/>
  <c r="R89" i="10"/>
  <c r="R164" i="10"/>
  <c r="R147" i="10"/>
  <c r="R28" i="10"/>
  <c r="R118" i="10"/>
  <c r="R66" i="10"/>
  <c r="R146" i="10"/>
  <c r="R217" i="10"/>
  <c r="R80" i="10"/>
  <c r="R36" i="10"/>
  <c r="R228" i="10"/>
  <c r="R224" i="10"/>
  <c r="R192" i="10"/>
  <c r="R114" i="10"/>
  <c r="R172" i="10"/>
  <c r="R123" i="10"/>
  <c r="R196" i="10"/>
  <c r="R35" i="10"/>
  <c r="R221" i="10"/>
  <c r="R153" i="10"/>
  <c r="R101" i="10"/>
  <c r="R165" i="10"/>
  <c r="R125" i="10"/>
  <c r="R205" i="10"/>
  <c r="R70" i="10"/>
  <c r="R151" i="10"/>
  <c r="R103" i="10"/>
  <c r="R29" i="10"/>
  <c r="R226" i="10"/>
  <c r="R161" i="10"/>
  <c r="R86" i="10"/>
  <c r="R185" i="10"/>
  <c r="R91" i="10"/>
  <c r="R167" i="10"/>
  <c r="R113" i="10"/>
  <c r="R199" i="10"/>
  <c r="R85" i="10"/>
  <c r="R124" i="10"/>
  <c r="R218" i="10"/>
  <c r="R171" i="10"/>
  <c r="R97" i="10"/>
  <c r="R181" i="10"/>
  <c r="R131" i="10"/>
  <c r="R98" i="10"/>
  <c r="R222" i="10"/>
  <c r="R106" i="10"/>
  <c r="R188" i="10"/>
  <c r="R230" i="10"/>
  <c r="R209" i="10"/>
  <c r="R168" i="10"/>
  <c r="R169" i="10"/>
  <c r="R129" i="10"/>
  <c r="R203" i="10"/>
  <c r="R200" i="10"/>
  <c r="R160" i="10"/>
  <c r="R83" i="10"/>
  <c r="R194" i="10"/>
  <c r="R155" i="10"/>
  <c r="R38" i="10"/>
  <c r="R175" i="10"/>
  <c r="R140" i="10"/>
  <c r="R132" i="10"/>
  <c r="R216" i="10"/>
  <c r="R62" i="10"/>
  <c r="R198" i="10"/>
  <c r="R96" i="10"/>
  <c r="R79" i="10"/>
  <c r="R45" i="10"/>
  <c r="R191" i="10"/>
  <c r="R53" i="10"/>
  <c r="R121" i="10"/>
  <c r="R145" i="10"/>
  <c r="R78" i="10"/>
  <c r="R100" i="10"/>
  <c r="R137" i="10"/>
  <c r="R187" i="10"/>
  <c r="R204" i="10"/>
  <c r="R152" i="10"/>
  <c r="R173" i="10"/>
  <c r="R135" i="10"/>
  <c r="R180" i="10"/>
  <c r="R72" i="10"/>
  <c r="R107" i="10"/>
  <c r="R43" i="10"/>
  <c r="R63" i="10"/>
  <c r="R157" i="10"/>
  <c r="R75" i="10"/>
  <c r="R212" i="10"/>
  <c r="R220" i="10"/>
  <c r="R93" i="10"/>
  <c r="R58" i="10"/>
  <c r="R207" i="10"/>
  <c r="R94" i="10"/>
  <c r="R202" i="10"/>
  <c r="R108" i="10"/>
  <c r="R102" i="10"/>
  <c r="R170" i="10"/>
  <c r="R179" i="10"/>
  <c r="R82" i="10"/>
  <c r="R119" i="10"/>
  <c r="R68" i="10"/>
  <c r="R111" i="10"/>
  <c r="R156" i="10"/>
  <c r="R40" i="10"/>
  <c r="R162" i="10"/>
  <c r="R210" i="10"/>
  <c r="R95" i="10"/>
  <c r="R92" i="10"/>
  <c r="R195" i="10"/>
  <c r="R148" i="10"/>
  <c r="R227" i="10"/>
  <c r="R42" i="10"/>
  <c r="R60" i="10"/>
  <c r="R149" i="10"/>
  <c r="R215" i="10"/>
  <c r="R189" i="10"/>
  <c r="R183" i="10"/>
  <c r="R112" i="10"/>
  <c r="R76" i="10"/>
  <c r="R73" i="10"/>
  <c r="R163" i="10"/>
  <c r="R134" i="10"/>
  <c r="R214" i="10"/>
  <c r="R41" i="10"/>
  <c r="R197" i="10"/>
  <c r="R128" i="10"/>
  <c r="R186" i="10"/>
  <c r="R150" i="10"/>
  <c r="R71" i="10"/>
  <c r="R139" i="10"/>
  <c r="R211" i="10"/>
  <c r="R120" i="10"/>
  <c r="R231" i="10"/>
  <c r="R182" i="10"/>
  <c r="R67" i="10"/>
  <c r="R32" i="10"/>
  <c r="R141" i="10"/>
  <c r="R177" i="10"/>
  <c r="R144" i="10"/>
  <c r="R69" i="10"/>
  <c r="R225" i="10"/>
  <c r="R90" i="10"/>
  <c r="R166" i="10"/>
  <c r="R61" i="10"/>
  <c r="R223" i="10"/>
  <c r="R159" i="10"/>
  <c r="R193" i="10"/>
  <c r="R117" i="10"/>
  <c r="R130" i="10"/>
  <c r="R206" i="10"/>
  <c r="R115" i="10"/>
  <c r="R184" i="10"/>
  <c r="N105" i="10" l="1"/>
  <c r="O110" i="10"/>
  <c r="N126" i="10"/>
  <c r="O127" i="10"/>
  <c r="J274" i="5"/>
  <c r="J276" i="5"/>
  <c r="G58" i="5" s="1"/>
  <c r="G59" i="5" s="1"/>
  <c r="G65" i="5" s="1"/>
  <c r="J278" i="5"/>
  <c r="I58" i="5" s="1"/>
  <c r="I59" i="5" s="1"/>
  <c r="I65" i="5" s="1"/>
  <c r="J275" i="5"/>
  <c r="F58" i="5" s="1"/>
  <c r="F59" i="5" s="1"/>
  <c r="F65" i="5" s="1"/>
  <c r="F41" i="5"/>
  <c r="J272" i="5"/>
  <c r="J273" i="5"/>
  <c r="J277" i="5"/>
  <c r="H58" i="5" s="1"/>
  <c r="H59" i="5" s="1"/>
  <c r="H65" i="5" s="1"/>
  <c r="J279" i="5"/>
  <c r="J280" i="5"/>
  <c r="J281" i="5"/>
  <c r="J282" i="5"/>
  <c r="J285" i="5"/>
  <c r="J283" i="5"/>
  <c r="J284" i="5"/>
  <c r="F247" i="4"/>
  <c r="J247" i="4" s="1"/>
  <c r="E252" i="4" s="1"/>
  <c r="E253" i="4" s="1"/>
  <c r="E254" i="4" s="1"/>
  <c r="N142" i="10" s="1"/>
  <c r="R142" i="10" s="1"/>
  <c r="J245" i="4"/>
  <c r="O6" i="10"/>
  <c r="F224" i="4"/>
  <c r="J286" i="6"/>
  <c r="G52" i="6" s="1"/>
  <c r="G53" i="6" s="1"/>
  <c r="J289" i="6"/>
  <c r="J52" i="6" s="1"/>
  <c r="J53" i="6" s="1"/>
  <c r="J290" i="6"/>
  <c r="K52" i="6" s="1"/>
  <c r="J283" i="6"/>
  <c r="D52" i="6" s="1"/>
  <c r="F34" i="6"/>
  <c r="J282" i="6"/>
  <c r="J285" i="6"/>
  <c r="F52" i="6" s="1"/>
  <c r="F53" i="6" s="1"/>
  <c r="J284" i="6"/>
  <c r="E52" i="6" s="1"/>
  <c r="J291" i="6"/>
  <c r="L52" i="6" s="1"/>
  <c r="J288" i="6"/>
  <c r="I52" i="6" s="1"/>
  <c r="I53" i="6" s="1"/>
  <c r="J287" i="6"/>
  <c r="H52" i="6" s="1"/>
  <c r="H53" i="6" s="1"/>
  <c r="J296" i="6"/>
  <c r="J292" i="6"/>
  <c r="M52" i="6" s="1"/>
  <c r="M53" i="6" s="1"/>
  <c r="J293" i="6"/>
  <c r="J294" i="6"/>
  <c r="J297" i="6"/>
  <c r="J295" i="6"/>
  <c r="J18" i="6"/>
  <c r="J18" i="5"/>
  <c r="E255" i="4" l="1"/>
  <c r="G133" i="10"/>
  <c r="G104" i="10" s="1"/>
  <c r="G10" i="10" s="1"/>
  <c r="O126" i="10"/>
  <c r="R126" i="10"/>
  <c r="O105" i="10"/>
  <c r="R105" i="10"/>
  <c r="AM45" i="2"/>
  <c r="AP45" i="2" s="1"/>
  <c r="K53" i="6"/>
  <c r="J224" i="4"/>
  <c r="F232" i="4"/>
  <c r="J232" i="4" s="1"/>
  <c r="K232" i="4" s="1"/>
  <c r="F226" i="4"/>
  <c r="F19" i="5"/>
  <c r="F19" i="6"/>
  <c r="N23" i="5"/>
  <c r="D58" i="5"/>
  <c r="D59" i="5" s="1"/>
  <c r="D65" i="5" s="1"/>
  <c r="I62" i="5"/>
  <c r="I63" i="5" s="1"/>
  <c r="N22" i="5"/>
  <c r="C58" i="5"/>
  <c r="J286" i="5"/>
  <c r="G62" i="5"/>
  <c r="G63" i="5" s="1"/>
  <c r="C52" i="6"/>
  <c r="J298" i="6"/>
  <c r="J301" i="6" s="1"/>
  <c r="L53" i="6"/>
  <c r="N52" i="10"/>
  <c r="J34" i="6"/>
  <c r="J35" i="6" s="1"/>
  <c r="F35" i="6"/>
  <c r="K133" i="10"/>
  <c r="K104" i="10" s="1"/>
  <c r="K10" i="10" s="1"/>
  <c r="F133" i="10"/>
  <c r="F104" i="10" s="1"/>
  <c r="F10" i="10" s="1"/>
  <c r="N133" i="10"/>
  <c r="L133" i="10"/>
  <c r="L104" i="10" s="1"/>
  <c r="L10" i="10" s="1"/>
  <c r="E133" i="10"/>
  <c r="E104" i="10" s="1"/>
  <c r="E10" i="10" s="1"/>
  <c r="I133" i="10"/>
  <c r="I104" i="10" s="1"/>
  <c r="I10" i="10" s="1"/>
  <c r="M133" i="10"/>
  <c r="M104" i="10" s="1"/>
  <c r="M10" i="10" s="1"/>
  <c r="D133" i="10"/>
  <c r="D104" i="10" s="1"/>
  <c r="D10" i="10" s="1"/>
  <c r="H133" i="10"/>
  <c r="H104" i="10" s="1"/>
  <c r="H10" i="10" s="1"/>
  <c r="J133" i="10"/>
  <c r="J104" i="10" s="1"/>
  <c r="J10" i="10" s="1"/>
  <c r="F42" i="5"/>
  <c r="J41" i="5"/>
  <c r="E58" i="5"/>
  <c r="E59" i="5" s="1"/>
  <c r="E65" i="5" s="1"/>
  <c r="N24" i="5"/>
  <c r="N49" i="10"/>
  <c r="AM42" i="2"/>
  <c r="E53" i="6"/>
  <c r="D53" i="6"/>
  <c r="AM44" i="2"/>
  <c r="AP44" i="2" s="1"/>
  <c r="N51" i="10"/>
  <c r="H62" i="5"/>
  <c r="H63" i="5" s="1"/>
  <c r="F62" i="5"/>
  <c r="F63" i="5" s="1"/>
  <c r="N104" i="10" l="1"/>
  <c r="N10" i="10" s="1"/>
  <c r="F64" i="5"/>
  <c r="I64" i="5"/>
  <c r="H64" i="5"/>
  <c r="E62" i="5"/>
  <c r="E63" i="5" s="1"/>
  <c r="H13" i="10"/>
  <c r="H27" i="10"/>
  <c r="E13" i="10"/>
  <c r="E27" i="10"/>
  <c r="F38" i="6"/>
  <c r="G64" i="5"/>
  <c r="O51" i="10"/>
  <c r="R51" i="10"/>
  <c r="AM50" i="2"/>
  <c r="J42" i="5"/>
  <c r="F43" i="5" s="1"/>
  <c r="D27" i="10"/>
  <c r="D13" i="10"/>
  <c r="G27" i="10"/>
  <c r="G13" i="10"/>
  <c r="F13" i="10"/>
  <c r="F27" i="10"/>
  <c r="G38" i="6"/>
  <c r="H38" i="6"/>
  <c r="D38" i="6"/>
  <c r="E38" i="6"/>
  <c r="I38" i="6"/>
  <c r="C38" i="6"/>
  <c r="J38" i="6"/>
  <c r="AM43" i="2"/>
  <c r="AP43" i="2" s="1"/>
  <c r="N50" i="10"/>
  <c r="N48" i="10" s="1"/>
  <c r="C53" i="6"/>
  <c r="S52" i="6"/>
  <c r="D62" i="5"/>
  <c r="D63" i="5" s="1"/>
  <c r="O49" i="10"/>
  <c r="R49" i="10"/>
  <c r="M27" i="10"/>
  <c r="M13" i="10"/>
  <c r="O142" i="10"/>
  <c r="K27" i="10"/>
  <c r="K13" i="10"/>
  <c r="O52" i="10"/>
  <c r="R52" i="10"/>
  <c r="C59" i="5"/>
  <c r="C65" i="5" s="1"/>
  <c r="J58" i="5"/>
  <c r="J59" i="5" s="1"/>
  <c r="N56" i="10"/>
  <c r="O23" i="5"/>
  <c r="AP42" i="2"/>
  <c r="N57" i="10"/>
  <c r="O24" i="5"/>
  <c r="J13" i="10"/>
  <c r="J27" i="10"/>
  <c r="I13" i="10"/>
  <c r="I27" i="10"/>
  <c r="L27" i="10"/>
  <c r="L13" i="10"/>
  <c r="N55" i="10"/>
  <c r="N25" i="5"/>
  <c r="O22" i="5"/>
  <c r="J19" i="5"/>
  <c r="J226" i="4"/>
  <c r="J19" i="6"/>
  <c r="AM41" i="2" l="1"/>
  <c r="AP41" i="2" s="1"/>
  <c r="D64" i="5"/>
  <c r="O25" i="5"/>
  <c r="E64" i="5"/>
  <c r="J66" i="5"/>
  <c r="I66" i="5"/>
  <c r="G66" i="5"/>
  <c r="H66" i="5"/>
  <c r="F66" i="5"/>
  <c r="E66" i="5"/>
  <c r="C62" i="5"/>
  <c r="C66" i="5"/>
  <c r="J67" i="5"/>
  <c r="O48" i="10"/>
  <c r="R48" i="10"/>
  <c r="S53" i="6"/>
  <c r="R55" i="6"/>
  <c r="D43" i="5"/>
  <c r="I43" i="5"/>
  <c r="H43" i="5"/>
  <c r="J43" i="5"/>
  <c r="G43" i="5"/>
  <c r="E43" i="5"/>
  <c r="C43" i="5"/>
  <c r="O55" i="10"/>
  <c r="N54" i="10"/>
  <c r="R55" i="10"/>
  <c r="O57" i="10"/>
  <c r="R57" i="10"/>
  <c r="O50" i="10"/>
  <c r="R50" i="10"/>
  <c r="AP50" i="2"/>
  <c r="AM47" i="2"/>
  <c r="AP47" i="2" s="1"/>
  <c r="O56" i="10"/>
  <c r="R56" i="10"/>
  <c r="D66" i="5"/>
  <c r="F17" i="10" l="1"/>
  <c r="H17" i="10"/>
  <c r="R54" i="10"/>
  <c r="O54" i="10"/>
  <c r="E17" i="10"/>
  <c r="M17" i="10"/>
  <c r="AP4" i="2"/>
  <c r="AS41" i="2" s="1"/>
  <c r="S54" i="6"/>
  <c r="H54" i="6"/>
  <c r="G54" i="6"/>
  <c r="F54" i="6"/>
  <c r="I54" i="6"/>
  <c r="J54" i="6"/>
  <c r="E54" i="6"/>
  <c r="D54" i="6"/>
  <c r="L54" i="6"/>
  <c r="K54" i="6"/>
  <c r="K17" i="10"/>
  <c r="L17" i="10"/>
  <c r="I17" i="10"/>
  <c r="G17" i="10"/>
  <c r="D17" i="10"/>
  <c r="C54" i="6"/>
  <c r="N34" i="10"/>
  <c r="K62" i="5"/>
  <c r="C63" i="5"/>
  <c r="C64" i="5" s="1"/>
  <c r="AM4" i="2"/>
  <c r="AM90" i="2" s="1"/>
  <c r="AP90" i="2" s="1"/>
  <c r="J17" i="10"/>
  <c r="AS50" i="2" l="1"/>
  <c r="O34" i="10"/>
  <c r="N27" i="10"/>
  <c r="N7" i="10"/>
  <c r="O7" i="10" s="1"/>
  <c r="R34" i="10"/>
  <c r="AS47" i="2"/>
  <c r="AS39" i="2"/>
  <c r="AS33" i="2"/>
  <c r="AS54" i="2"/>
  <c r="AS13" i="2"/>
  <c r="AS84" i="2"/>
  <c r="AS53" i="2"/>
  <c r="AS65" i="2"/>
  <c r="AS22" i="2"/>
  <c r="AS56" i="2"/>
  <c r="AS85" i="2"/>
  <c r="AS25" i="2"/>
  <c r="AS18" i="2"/>
  <c r="AS72" i="2"/>
  <c r="AS4" i="2"/>
  <c r="AS29" i="2"/>
  <c r="AS26" i="2"/>
  <c r="AS86" i="2"/>
  <c r="AS30" i="2"/>
  <c r="AS82" i="2"/>
  <c r="AS68" i="2"/>
  <c r="AS16" i="2"/>
  <c r="AS70" i="2"/>
  <c r="AS15" i="2"/>
  <c r="AS92" i="2"/>
  <c r="AS66" i="2"/>
  <c r="AS24" i="2"/>
  <c r="AS73" i="2"/>
  <c r="AS61" i="2"/>
  <c r="AS69" i="2"/>
  <c r="AS77" i="2"/>
  <c r="AS31" i="2"/>
  <c r="AS63" i="2"/>
  <c r="AS57" i="2"/>
  <c r="AS78" i="2"/>
  <c r="AS48" i="2"/>
  <c r="AS32" i="2"/>
  <c r="AS17" i="2"/>
  <c r="AS59" i="2"/>
  <c r="AS28" i="2"/>
  <c r="AS36" i="2"/>
  <c r="AS60" i="2"/>
  <c r="AS37" i="2"/>
  <c r="AS14" i="2"/>
  <c r="AS75" i="2"/>
  <c r="AS27" i="2"/>
  <c r="AS51" i="2"/>
  <c r="AS74" i="2"/>
  <c r="AS20" i="2"/>
  <c r="AS62" i="2"/>
  <c r="AS55" i="2"/>
  <c r="AS49" i="2"/>
  <c r="AS58" i="2"/>
  <c r="AS80" i="2"/>
  <c r="AS23" i="2"/>
  <c r="AS76" i="2"/>
  <c r="AS83" i="2"/>
  <c r="AS67" i="2"/>
  <c r="AS21" i="2"/>
  <c r="AS79" i="2"/>
  <c r="AS38" i="2"/>
  <c r="AS34" i="2"/>
  <c r="AS44" i="2"/>
  <c r="AS45" i="2"/>
  <c r="AS43" i="2"/>
  <c r="AS42" i="2"/>
  <c r="N13" i="10" l="1"/>
  <c r="R7" i="10" l="1"/>
  <c r="S7" i="10" s="1"/>
  <c r="N17" i="10" l="1"/>
  <c r="O17" i="10" l="1"/>
  <c r="P20" i="10" l="1"/>
  <c r="P18" i="10"/>
  <c r="P23" i="10"/>
  <c r="P21" i="10"/>
  <c r="P19" i="10"/>
  <c r="P17" i="10" l="1"/>
  <c r="O138" i="10" l="1"/>
  <c r="C133" i="10"/>
  <c r="R133" i="10" s="1"/>
  <c r="R138" i="10"/>
  <c r="C104" i="10" l="1"/>
  <c r="C25" i="10" s="1"/>
  <c r="D25" i="10" s="1"/>
  <c r="E25" i="10" s="1"/>
  <c r="F25" i="10" s="1"/>
  <c r="G25" i="10" s="1"/>
  <c r="H25" i="10" s="1"/>
  <c r="I25" i="10" s="1"/>
  <c r="J25" i="10" s="1"/>
  <c r="K25" i="10" s="1"/>
  <c r="L25" i="10" s="1"/>
  <c r="M25" i="10" s="1"/>
  <c r="N25" i="10" s="1"/>
  <c r="O133" i="10"/>
  <c r="C10" i="10" l="1"/>
  <c r="R104" i="10"/>
  <c r="O104" i="10"/>
  <c r="C27" i="10"/>
  <c r="O10" i="10"/>
  <c r="C13" i="10"/>
  <c r="O27" i="10" l="1"/>
  <c r="P104" i="10" s="1"/>
  <c r="O13" i="10"/>
  <c r="R12" i="10"/>
  <c r="S12" i="10" s="1"/>
  <c r="P128" i="10" l="1"/>
  <c r="P39" i="10"/>
  <c r="P166" i="10"/>
  <c r="P54" i="10"/>
  <c r="P56" i="10"/>
  <c r="P70" i="10"/>
  <c r="P144" i="10"/>
  <c r="P161" i="10"/>
  <c r="P121" i="10"/>
  <c r="P40" i="10"/>
  <c r="P48" i="10"/>
  <c r="P41" i="10"/>
  <c r="P53" i="10"/>
  <c r="P49" i="10"/>
  <c r="P112" i="10"/>
  <c r="P169" i="10"/>
  <c r="P167" i="10"/>
  <c r="P86" i="10"/>
  <c r="P50" i="10"/>
  <c r="P143" i="10"/>
  <c r="P75" i="10"/>
  <c r="P67" i="10"/>
  <c r="P68" i="10"/>
  <c r="P162" i="10"/>
  <c r="P78" i="10"/>
  <c r="P158" i="10"/>
  <c r="P125" i="10"/>
  <c r="P148" i="10"/>
  <c r="P80" i="10"/>
  <c r="P140" i="10"/>
  <c r="P72" i="10"/>
  <c r="P130" i="10"/>
  <c r="P154" i="10"/>
  <c r="P116" i="10"/>
  <c r="P155" i="10"/>
  <c r="P132" i="10"/>
  <c r="P96" i="10"/>
  <c r="P44" i="10"/>
  <c r="P123" i="10"/>
  <c r="P119" i="10"/>
  <c r="P157" i="10"/>
  <c r="P101" i="10"/>
  <c r="P170" i="10"/>
  <c r="P92" i="10"/>
  <c r="P60" i="10"/>
  <c r="P83" i="10"/>
  <c r="P141" i="10"/>
  <c r="P122" i="10"/>
  <c r="P38" i="10"/>
  <c r="P43" i="10"/>
  <c r="P30" i="10"/>
  <c r="P36" i="10"/>
  <c r="P134" i="10"/>
  <c r="P110" i="10"/>
  <c r="P136" i="10"/>
  <c r="P63" i="10"/>
  <c r="P147" i="10"/>
  <c r="P32" i="10"/>
  <c r="P165" i="10"/>
  <c r="P47" i="10"/>
  <c r="P37" i="10"/>
  <c r="P58" i="10"/>
  <c r="P62" i="10"/>
  <c r="P42" i="10"/>
  <c r="P95" i="10"/>
  <c r="P152" i="10"/>
  <c r="P126" i="10"/>
  <c r="P138" i="10"/>
  <c r="P81" i="10"/>
  <c r="P59" i="10"/>
  <c r="P77" i="10"/>
  <c r="P137" i="10"/>
  <c r="P29" i="10"/>
  <c r="P28" i="10"/>
  <c r="P45" i="10"/>
  <c r="P31" i="10"/>
  <c r="P85" i="10"/>
  <c r="P82" i="10"/>
  <c r="P71" i="10"/>
  <c r="P69" i="10"/>
  <c r="P113" i="10"/>
  <c r="P51" i="10"/>
  <c r="P129" i="10"/>
  <c r="P127" i="10"/>
  <c r="P33" i="10"/>
  <c r="P99" i="10"/>
  <c r="P164" i="10"/>
  <c r="P100" i="10"/>
  <c r="P106" i="10"/>
  <c r="P98" i="10"/>
  <c r="P139" i="10"/>
  <c r="P89" i="10"/>
  <c r="P159" i="10"/>
  <c r="P168" i="10"/>
  <c r="P64" i="10"/>
  <c r="P142" i="10"/>
  <c r="P145" i="10"/>
  <c r="P149" i="10"/>
  <c r="P135" i="10"/>
  <c r="P84" i="10"/>
  <c r="P61" i="10"/>
  <c r="P131" i="10"/>
  <c r="P66" i="10"/>
  <c r="P115" i="10"/>
  <c r="P90" i="10"/>
  <c r="P34" i="10"/>
  <c r="P124" i="10"/>
  <c r="P88" i="10"/>
  <c r="P102" i="10"/>
  <c r="P120" i="10"/>
  <c r="P57" i="10"/>
  <c r="P97" i="10"/>
  <c r="P111" i="10"/>
  <c r="P108" i="10"/>
  <c r="P109" i="10"/>
  <c r="P118" i="10"/>
  <c r="P151" i="10"/>
  <c r="P74" i="10"/>
  <c r="P65" i="10"/>
  <c r="P150" i="10"/>
  <c r="P156" i="10"/>
  <c r="P107" i="10"/>
  <c r="P94" i="10"/>
  <c r="P103" i="10"/>
  <c r="P114" i="10"/>
  <c r="P171" i="10"/>
  <c r="P76" i="10"/>
  <c r="P52" i="10"/>
  <c r="P91" i="10"/>
  <c r="P73" i="10"/>
  <c r="P163" i="10"/>
  <c r="P87" i="10"/>
  <c r="P55" i="10"/>
  <c r="P133" i="10"/>
  <c r="P160" i="10"/>
  <c r="P117" i="10"/>
  <c r="P46" i="10"/>
  <c r="G14" i="10"/>
  <c r="H14" i="10"/>
  <c r="K14" i="10"/>
  <c r="M14" i="10"/>
  <c r="P9" i="10"/>
  <c r="L14" i="10"/>
  <c r="P8" i="10"/>
  <c r="J14" i="10"/>
  <c r="P6" i="10"/>
  <c r="P12" i="10"/>
  <c r="P7" i="10"/>
  <c r="E14" i="10"/>
  <c r="D14" i="10"/>
  <c r="I14" i="10"/>
  <c r="N14" i="10"/>
  <c r="R13" i="10"/>
  <c r="S13" i="10" s="1"/>
  <c r="U14" i="10" s="1"/>
  <c r="P11" i="10"/>
  <c r="F14" i="10"/>
  <c r="P10" i="10"/>
  <c r="C14" i="10"/>
  <c r="P27" i="10" l="1"/>
  <c r="P1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tc={E6623D16-AF01-4104-8CB3-DEB61308B3CF}</author>
    <author>tc={C4771688-358E-4110-B254-46BFAD52294E}</author>
    <author>tc={3446A76F-5647-458E-A937-5416753A7D2F}</author>
    <author>tc={0B8BF4CA-B1CA-4B77-996E-C60A5EB801C4}</author>
  </authors>
  <commentList>
    <comment ref="AP28" authorId="0" shapeId="0" xr:uid="{00000000-0006-0000-01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Rough Estimate of Total Cost 2019 divided into 12 months, not sure if this is the best way to do it?</t>
      </text>
    </comment>
    <comment ref="AP29" authorId="1" shapeId="0" xr:uid="{00000000-0006-0000-01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AA Average cost of Maintance of a vehicle $1800 per year / 12 months</t>
      </text>
    </comment>
    <comment ref="AP31" authorId="2" shapeId="0" xr:uid="{00000000-0006-0000-01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Cost for full service of generator last year was $150 assuming 2 services per year</t>
      </text>
    </comment>
    <comment ref="AP66" authorId="3" shapeId="0" xr:uid="{00000000-0006-0000-01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last years accounts this was 2,5% of expenses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tc={19417379-75F7-4A81-B98D-A5112473DBBA}</author>
    <author>tc={A6DD0E4A-AD22-49E9-A6BA-3B0848B80EB2}</author>
  </authors>
  <commentList>
    <comment ref="M40" authorId="0" shapeId="0" xr:uid="{00000000-0006-0000-04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will depend on results of FEC's</t>
      </text>
    </comment>
    <comment ref="A112" authorId="1" shapeId="0" xr:uid="{00000000-0006-0000-04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Depending on results of FEC's</t>
      </text>
    </comment>
  </commentList>
</comments>
</file>

<file path=xl/sharedStrings.xml><?xml version="1.0" encoding="utf-8"?>
<sst xmlns="http://schemas.openxmlformats.org/spreadsheetml/2006/main" count="1488" uniqueCount="745">
  <si>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</si>
  <si>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</si>
  <si>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</si>
  <si>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</si>
  <si>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</si>
  <si>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</si>
  <si>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</si>
  <si>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</si>
  <si>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</si>
  <si>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</si>
  <si>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</si>
  <si>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Winter Lick</t>
  </si>
  <si>
    <t>Production Lick</t>
  </si>
  <si>
    <t>Pen Feeding Meal</t>
  </si>
  <si>
    <t xml:space="preserve">Protein Cubes </t>
  </si>
  <si>
    <t xml:space="preserve">Hay </t>
  </si>
  <si>
    <t>Jan</t>
  </si>
  <si>
    <t>Admin</t>
  </si>
  <si>
    <t>Operational Cost Codes</t>
  </si>
  <si>
    <t>TOTAL</t>
  </si>
  <si>
    <t xml:space="preserve">Budgeted </t>
  </si>
  <si>
    <t>Actual</t>
  </si>
  <si>
    <t>Variance</t>
  </si>
  <si>
    <t>Budgeted</t>
  </si>
  <si>
    <t>Actual YTD</t>
  </si>
  <si>
    <t>Variance YTD</t>
  </si>
  <si>
    <t>overheads</t>
  </si>
  <si>
    <t xml:space="preserve">people </t>
  </si>
  <si>
    <t xml:space="preserve">Total Running Costs </t>
  </si>
  <si>
    <t xml:space="preserve">maintainance </t>
  </si>
  <si>
    <t>property</t>
  </si>
  <si>
    <t>Income</t>
  </si>
  <si>
    <t>indirect</t>
  </si>
  <si>
    <t>0500/000</t>
  </si>
  <si>
    <t>Sales - Other</t>
  </si>
  <si>
    <t>admin</t>
  </si>
  <si>
    <t>1000/000</t>
  </si>
  <si>
    <t>Sales - Cattle</t>
  </si>
  <si>
    <t>2750/000</t>
  </si>
  <si>
    <t>Interest Received</t>
  </si>
  <si>
    <t xml:space="preserve">direct </t>
  </si>
  <si>
    <t>2850/000</t>
  </si>
  <si>
    <t>Bad Debts Recovered</t>
  </si>
  <si>
    <t xml:space="preserve">vets and meds </t>
  </si>
  <si>
    <t>2900/000</t>
  </si>
  <si>
    <t>Sundry Income</t>
  </si>
  <si>
    <t>feed</t>
  </si>
  <si>
    <t>salaries and wages</t>
  </si>
  <si>
    <t>1500/000</t>
  </si>
  <si>
    <t>Operating Costs - Cattle</t>
  </si>
  <si>
    <t>1500/010</t>
  </si>
  <si>
    <t>Cattle</t>
  </si>
  <si>
    <t>Cattle - Purchases</t>
  </si>
  <si>
    <t>1500/060</t>
  </si>
  <si>
    <t>Cattle - Permits</t>
  </si>
  <si>
    <t>1500/070</t>
  </si>
  <si>
    <t>Cost of Sales</t>
  </si>
  <si>
    <t>Cattle - Partnership Fee</t>
  </si>
  <si>
    <t>1500/099</t>
  </si>
  <si>
    <t>Cattle - Other Costs</t>
  </si>
  <si>
    <t>1500/500</t>
  </si>
  <si>
    <t>Cattle - Commission on Sales</t>
  </si>
  <si>
    <t>2300/000</t>
  </si>
  <si>
    <t>Farm Costs - General</t>
  </si>
  <si>
    <t>2300/004</t>
  </si>
  <si>
    <t>Transport</t>
  </si>
  <si>
    <t>Farm Costs - Transport Cattle</t>
  </si>
  <si>
    <t>2300/006</t>
  </si>
  <si>
    <t>Farm Costs - Transport Other</t>
  </si>
  <si>
    <t>2300/010</t>
  </si>
  <si>
    <t>Farm Costs - Electricity</t>
  </si>
  <si>
    <t>2300/040</t>
  </si>
  <si>
    <t>Farm Costs - Chemicals</t>
  </si>
  <si>
    <t>2300/220</t>
  </si>
  <si>
    <t>Farm Costs - Fertilisers</t>
  </si>
  <si>
    <t>2300/300</t>
  </si>
  <si>
    <t>R&amp;M</t>
  </si>
  <si>
    <t>Farm Costs - Small Tools</t>
  </si>
  <si>
    <t>2300/060</t>
  </si>
  <si>
    <t>Farm Costs - Buildings Maintenance</t>
  </si>
  <si>
    <t>2300/070</t>
  </si>
  <si>
    <t>Farm Costs - Farm Machinery Maintenance</t>
  </si>
  <si>
    <t>2300/080</t>
  </si>
  <si>
    <t>Farm Costs - Motor Vehicle Maintenance</t>
  </si>
  <si>
    <t>2300/100</t>
  </si>
  <si>
    <t>Farm Costs - Hire of Equipment</t>
  </si>
  <si>
    <t>2500/600</t>
  </si>
  <si>
    <t>Farm Costs - Water &amp; Pumping - R&amp;M</t>
  </si>
  <si>
    <t>2300/501</t>
  </si>
  <si>
    <t>Farm Costs - Fencing &amp; Handling Facility - R&amp;M</t>
  </si>
  <si>
    <t>2500/040</t>
  </si>
  <si>
    <t>Farm Costs - Workshop Consumables</t>
  </si>
  <si>
    <t>2300/085</t>
  </si>
  <si>
    <t>Farm Costs - Tyres</t>
  </si>
  <si>
    <t>2300/600</t>
  </si>
  <si>
    <t>Farm Costs - Fuel &amp; Lubes</t>
  </si>
  <si>
    <t>2300/601</t>
  </si>
  <si>
    <t>Fuel</t>
  </si>
  <si>
    <t>Farm Costs - Fuel - Diesel</t>
  </si>
  <si>
    <t>2300/602</t>
  </si>
  <si>
    <t>Farm Costs - Fuel - Petrol</t>
  </si>
  <si>
    <t>2300/603</t>
  </si>
  <si>
    <t>Farm Costs - Fuel - Oil &amp; Lubrication</t>
  </si>
  <si>
    <t>2300/700</t>
  </si>
  <si>
    <t>Farm Costs - Veterinary Costs</t>
  </si>
  <si>
    <t>2300/701</t>
  </si>
  <si>
    <t>Vets and Meds</t>
  </si>
  <si>
    <t>Farm Costs - Veterinary Vaccination</t>
  </si>
  <si>
    <t>2300/702</t>
  </si>
  <si>
    <t>Farm Costs - Veterinary Dip</t>
  </si>
  <si>
    <t>2300/703</t>
  </si>
  <si>
    <t>Farm Costs - Veterinary General Treatments</t>
  </si>
  <si>
    <t>2300/704</t>
  </si>
  <si>
    <t>Farm Costs - Veterinary Vet Fees</t>
  </si>
  <si>
    <t>2300/800</t>
  </si>
  <si>
    <t>Farm Costs - Stock Feeds &amp; Licks</t>
  </si>
  <si>
    <t>2300/801</t>
  </si>
  <si>
    <t>Feed</t>
  </si>
  <si>
    <t>Farm Costs - Feeds Special Nutrition</t>
  </si>
  <si>
    <t>2300/802</t>
  </si>
  <si>
    <t>Farm Costs - Feeds Winter Maintenance</t>
  </si>
  <si>
    <t>2300/803</t>
  </si>
  <si>
    <t>Farm Costs - Feeds Summer Maintenance</t>
  </si>
  <si>
    <t>2300/005</t>
  </si>
  <si>
    <t>Farm Costs - Transport Stock Feed</t>
  </si>
  <si>
    <t>2450/000</t>
  </si>
  <si>
    <t>Farm Costs - Staff Costs</t>
  </si>
  <si>
    <t>2450/010</t>
  </si>
  <si>
    <t>People</t>
  </si>
  <si>
    <t>Staff Costs - Staff Welfare</t>
  </si>
  <si>
    <t>2450/020</t>
  </si>
  <si>
    <t>Staff Costs - Housing</t>
  </si>
  <si>
    <t>2450/030</t>
  </si>
  <si>
    <t>Staff Costs - Transport</t>
  </si>
  <si>
    <t>2450/040</t>
  </si>
  <si>
    <t>Staff Costs - Protective Clothing</t>
  </si>
  <si>
    <t>2450/050</t>
  </si>
  <si>
    <t>Staff Costs - Medical</t>
  </si>
  <si>
    <t>2450/060</t>
  </si>
  <si>
    <t>Staff Costs - Training</t>
  </si>
  <si>
    <t>2450/099</t>
  </si>
  <si>
    <t>Staff Costs - General</t>
  </si>
  <si>
    <t>2450/100</t>
  </si>
  <si>
    <t>Staff Costs - Salaries &amp; Wages</t>
  </si>
  <si>
    <t>2450/200</t>
  </si>
  <si>
    <t>Staff Costs - Casual Wages</t>
  </si>
  <si>
    <t>2450/110</t>
  </si>
  <si>
    <t>Staff Costs - NSSA &amp; NEC Etc.</t>
  </si>
  <si>
    <t>Farm - Admin Costs</t>
  </si>
  <si>
    <t>3200/001</t>
  </si>
  <si>
    <t>Overheads - Bank Charges Cabs</t>
  </si>
  <si>
    <t>3200/005</t>
  </si>
  <si>
    <t>Overheads - Bank Charges Ecocash</t>
  </si>
  <si>
    <t>4200/000</t>
  </si>
  <si>
    <t>Printing &amp; Stationary</t>
  </si>
  <si>
    <t>4600/001</t>
  </si>
  <si>
    <t>Telephone</t>
  </si>
  <si>
    <t>4600/002</t>
  </si>
  <si>
    <t>Internet</t>
  </si>
  <si>
    <t>Farm - Overhead Costs</t>
  </si>
  <si>
    <t>3350/000</t>
  </si>
  <si>
    <t>Overheads - Consulting Fees</t>
  </si>
  <si>
    <t>3400/000</t>
  </si>
  <si>
    <t>Overheads - Courier &amp; Postage</t>
  </si>
  <si>
    <t>3600/000</t>
  </si>
  <si>
    <t>Overheads - Donations</t>
  </si>
  <si>
    <t>3650/000</t>
  </si>
  <si>
    <t>Overheads - Electricity &amp; Water</t>
  </si>
  <si>
    <t>3700/000</t>
  </si>
  <si>
    <t>Overheads - Entertainment Expenses</t>
  </si>
  <si>
    <t>3910/000</t>
  </si>
  <si>
    <t>Overheads - Grazing Fees</t>
  </si>
  <si>
    <t>3950/000</t>
  </si>
  <si>
    <t>Overheads - Leasing Charges</t>
  </si>
  <si>
    <t>3990/000</t>
  </si>
  <si>
    <t>Overheads - Meeting Costs</t>
  </si>
  <si>
    <t>4650/000</t>
  </si>
  <si>
    <t>Overheads - Travel &amp; Accommodation</t>
  </si>
  <si>
    <t>4650/010</t>
  </si>
  <si>
    <t>Overheads - Travel - Local</t>
  </si>
  <si>
    <t>4650/030</t>
  </si>
  <si>
    <t>Overheads - Accommodation</t>
  </si>
  <si>
    <t>4750/000</t>
  </si>
  <si>
    <t>Overheads - Transport</t>
  </si>
  <si>
    <t>5120/000</t>
  </si>
  <si>
    <t>Overheads - Toll fees</t>
  </si>
  <si>
    <t>LSU</t>
  </si>
  <si>
    <t>Average Running Cost/LSU</t>
  </si>
  <si>
    <t xml:space="preserve">Cost per LSU </t>
  </si>
  <si>
    <t>4300/001</t>
  </si>
  <si>
    <t xml:space="preserve">Farm Rent </t>
  </si>
  <si>
    <t xml:space="preserve">Total Infrastructure Development Costs </t>
  </si>
  <si>
    <t>Infrastructure Development - Staff Costs</t>
  </si>
  <si>
    <t>3325/010</t>
  </si>
  <si>
    <t>3325/020</t>
  </si>
  <si>
    <t>3325/030</t>
  </si>
  <si>
    <t>3325/040</t>
  </si>
  <si>
    <t>3325/050</t>
  </si>
  <si>
    <t>3325/060</t>
  </si>
  <si>
    <t>3325/099</t>
  </si>
  <si>
    <t>3325/100</t>
  </si>
  <si>
    <t>3325/002?</t>
  </si>
  <si>
    <t>3325/200</t>
  </si>
  <si>
    <t>3325/110</t>
  </si>
  <si>
    <t>NSSA &amp; NEC Etc.</t>
  </si>
  <si>
    <t>3325/000</t>
  </si>
  <si>
    <t>Infrastructure Development - General</t>
  </si>
  <si>
    <t>3325/001</t>
  </si>
  <si>
    <t>Infrastructure Dev - Hire of Equipment</t>
  </si>
  <si>
    <t>Infrastructure Dev - Transport</t>
  </si>
  <si>
    <t>3325/005</t>
  </si>
  <si>
    <t>Infrastructure Dev - Small Tools</t>
  </si>
  <si>
    <t>Infrastructure Dev - Buildings Maintenance</t>
  </si>
  <si>
    <t>Infrastructure Dev - Machinery Maintenance</t>
  </si>
  <si>
    <t>Infrastructure Dev - Motor Vehicle Maintenance</t>
  </si>
  <si>
    <t>3325/004</t>
  </si>
  <si>
    <t>Infrastructure Dev - Workshop Consumables</t>
  </si>
  <si>
    <t>Infrastructure Dev - Tyres</t>
  </si>
  <si>
    <t>Infrastructure Development - Fuel &amp; Lubes</t>
  </si>
  <si>
    <t>3325/003</t>
  </si>
  <si>
    <t>Infrastructure Dev - Fuel Diesel</t>
  </si>
  <si>
    <t>3325/031</t>
  </si>
  <si>
    <t>Infrastructure Dev - Fuel Petrol</t>
  </si>
  <si>
    <t>3325/032</t>
  </si>
  <si>
    <t>Infrastructure Dev - Fuel Oil &amp; Lubrication</t>
  </si>
  <si>
    <t>Infrastructure Development - Admin Costs</t>
  </si>
  <si>
    <t>Infrastructure Dev - Printing &amp; Stationery</t>
  </si>
  <si>
    <t>Overheads - Telephone &amp; Fax</t>
  </si>
  <si>
    <t>Overheads - Internet Charges</t>
  </si>
  <si>
    <t>Infrastructure Development - Overhead Costs</t>
  </si>
  <si>
    <t>4432/000</t>
  </si>
  <si>
    <t>Infrastructure Dev - Mileage</t>
  </si>
  <si>
    <t>6700/000</t>
  </si>
  <si>
    <t>Fixed Asset Prepayments</t>
  </si>
  <si>
    <t>6700/010</t>
  </si>
  <si>
    <t>Fencing</t>
  </si>
  <si>
    <t>6700/020</t>
  </si>
  <si>
    <t>Handling Facility</t>
  </si>
  <si>
    <t>6700/030</t>
  </si>
  <si>
    <t>Water &amp; Pumping</t>
  </si>
  <si>
    <t>6700/040</t>
  </si>
  <si>
    <t>Buildings</t>
  </si>
  <si>
    <t>6700/050</t>
  </si>
  <si>
    <t>Roads &amp; Fire Guards</t>
  </si>
  <si>
    <t>6700/060</t>
  </si>
  <si>
    <t>Bush Clearing</t>
  </si>
  <si>
    <t xml:space="preserve"> </t>
  </si>
  <si>
    <t>Herd Change</t>
  </si>
  <si>
    <t>C/F Total Inc Missing to next year</t>
  </si>
  <si>
    <t>Computer Program Count</t>
  </si>
  <si>
    <t>Adjustment-(GM use only)</t>
  </si>
  <si>
    <t>Actual Count On The Ranch</t>
  </si>
  <si>
    <t>Total Including Missing</t>
  </si>
  <si>
    <t>Missing in December</t>
  </si>
  <si>
    <t>Reclassified Out</t>
  </si>
  <si>
    <t>Reclassified In</t>
  </si>
  <si>
    <t>Stolen</t>
  </si>
  <si>
    <t>Slaughtered / Destroyed</t>
  </si>
  <si>
    <t>Sold External</t>
  </si>
  <si>
    <t>Sold Internal</t>
  </si>
  <si>
    <t>Died</t>
  </si>
  <si>
    <t>Purchased</t>
  </si>
  <si>
    <t>Born</t>
  </si>
  <si>
    <t>Annual Summary</t>
  </si>
  <si>
    <t>December</t>
  </si>
  <si>
    <t>Missing</t>
  </si>
  <si>
    <t>C/F Total Inc Missing from previous month</t>
  </si>
  <si>
    <t>November</t>
  </si>
  <si>
    <t>October</t>
  </si>
  <si>
    <t>September</t>
  </si>
  <si>
    <t>August</t>
  </si>
  <si>
    <t>July</t>
  </si>
  <si>
    <t>June</t>
  </si>
  <si>
    <t>April</t>
  </si>
  <si>
    <t>March</t>
  </si>
  <si>
    <t>February</t>
  </si>
  <si>
    <t>January</t>
  </si>
  <si>
    <t>Adjustment</t>
  </si>
  <si>
    <t>C/F Total Inc Missing from previous year</t>
  </si>
  <si>
    <t>CATTLE</t>
  </si>
  <si>
    <t>Calves</t>
  </si>
  <si>
    <t>Weaner Steers</t>
  </si>
  <si>
    <t>Feeder Steers</t>
  </si>
  <si>
    <t>Weaner Heifers</t>
  </si>
  <si>
    <t>Bulling Heifers</t>
  </si>
  <si>
    <t>Breeding Cows</t>
  </si>
  <si>
    <t>Mature Stud Bulls</t>
  </si>
  <si>
    <t>CALVES</t>
  </si>
  <si>
    <t>STEERS</t>
  </si>
  <si>
    <t>HEIFERS</t>
  </si>
  <si>
    <t>COWS</t>
  </si>
  <si>
    <t>BULLS</t>
  </si>
  <si>
    <t>Description</t>
  </si>
  <si>
    <t>Year</t>
  </si>
  <si>
    <t>COMBINED MONTHLY COMMERCIAL LIVESTOCK RETURN</t>
  </si>
  <si>
    <t>Cost Per Annum Per Head</t>
  </si>
  <si>
    <t>Total Cost per head / month</t>
  </si>
  <si>
    <t>P6 Summer Lick</t>
  </si>
  <si>
    <t xml:space="preserve">Total Volume </t>
  </si>
  <si>
    <t>Feed Allocation per day in Grams</t>
  </si>
  <si>
    <t>Price per Kg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</si>
  <si>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</si>
  <si>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</si>
  <si>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</si>
  <si>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</si>
  <si>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</si>
  <si>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</si>
  <si>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</si>
  <si>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</si>
  <si>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</si>
  <si>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</si>
  <si>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Total Volume Kg's</t>
  </si>
  <si>
    <t>FEBRUARY</t>
  </si>
  <si>
    <t>Total Volume in Tons</t>
  </si>
  <si>
    <t>JANUARY</t>
  </si>
  <si>
    <t>MONTHLY FEED ALLOCATIONS</t>
  </si>
  <si>
    <t>Percentage of Volume Fed</t>
  </si>
  <si>
    <t>Total Value</t>
  </si>
  <si>
    <t>Cost of External Content</t>
  </si>
  <si>
    <t>Cost of Internal Content</t>
  </si>
  <si>
    <t>Volume of Internal Content</t>
  </si>
  <si>
    <t>Percentage of internal content</t>
  </si>
  <si>
    <t>Value per Kg</t>
  </si>
  <si>
    <t>Total Volume of Feed Used per Month</t>
  </si>
  <si>
    <t>MONTH</t>
  </si>
  <si>
    <t>Percentage of Costs</t>
  </si>
  <si>
    <t>Total Cost per Annum</t>
  </si>
  <si>
    <t>COST PER MONTH</t>
  </si>
  <si>
    <t>CATTLE ON HAND</t>
  </si>
  <si>
    <t>Total Cost per head / year</t>
  </si>
  <si>
    <t>Monthly Cost Per Treatment</t>
  </si>
  <si>
    <t>Treatments Per Month</t>
  </si>
  <si>
    <t>Price per Dose</t>
  </si>
  <si>
    <t>HEiFERS</t>
  </si>
  <si>
    <t>MONTHLY TREATMENTS</t>
  </si>
  <si>
    <t>Cost Per Month</t>
  </si>
  <si>
    <t>Mature Bulls</t>
  </si>
  <si>
    <t>Total</t>
  </si>
  <si>
    <t>Number</t>
  </si>
  <si>
    <t>Revenue</t>
  </si>
  <si>
    <t>Price</t>
  </si>
  <si>
    <t>Ave weight</t>
  </si>
  <si>
    <t>Cull Heifers</t>
  </si>
  <si>
    <t>Cull Steers</t>
  </si>
  <si>
    <t>Cull Cows</t>
  </si>
  <si>
    <t>Bulls</t>
  </si>
  <si>
    <t>INTERNAL</t>
  </si>
  <si>
    <t>TOTAL REVENUE</t>
  </si>
  <si>
    <t>EXTERNAL REVENUE</t>
  </si>
  <si>
    <t>INTERNAL REVENUE</t>
  </si>
  <si>
    <t>TOTAL SALES</t>
  </si>
  <si>
    <t>EXTERNAL SALES</t>
  </si>
  <si>
    <t>INTERNAL SALES</t>
  </si>
  <si>
    <t xml:space="preserve">LABOUR </t>
  </si>
  <si>
    <t>ACCOUNTING CODES</t>
  </si>
  <si>
    <t>Total Average Monthly Cost</t>
  </si>
  <si>
    <t>% of Costs</t>
  </si>
  <si>
    <t>Budget</t>
  </si>
  <si>
    <t>Monthly LSU</t>
  </si>
  <si>
    <t>Cost per LSU - Operating Costs</t>
  </si>
  <si>
    <t>Cost per LSU - Farm Costs</t>
  </si>
  <si>
    <t>Cost per LSU - R &amp; M</t>
  </si>
  <si>
    <t>Cost per LSU - Infrastructure Development</t>
  </si>
  <si>
    <t>Cost per LSU - Overheads</t>
  </si>
  <si>
    <t xml:space="preserve">Total </t>
  </si>
  <si>
    <t>%</t>
  </si>
  <si>
    <t>Account</t>
  </si>
  <si>
    <t>Farm Costs</t>
  </si>
  <si>
    <t>2301/000</t>
  </si>
  <si>
    <t>2301/001</t>
  </si>
  <si>
    <t>2301/002</t>
  </si>
  <si>
    <t>2301/003</t>
  </si>
  <si>
    <t>Farm Costs - Fuel - Oil &amp; Lubriction</t>
  </si>
  <si>
    <t>2302/000</t>
  </si>
  <si>
    <t>Farm Costs - Vetrinary Costs</t>
  </si>
  <si>
    <t>2302/001</t>
  </si>
  <si>
    <t>Farm Costs - Veterinary Vaccinations</t>
  </si>
  <si>
    <t>2302/002</t>
  </si>
  <si>
    <t>2302/003</t>
  </si>
  <si>
    <t xml:space="preserve">Farm Costs - Tagging </t>
  </si>
  <si>
    <t>2302/004</t>
  </si>
  <si>
    <t>2303/000</t>
  </si>
  <si>
    <t>2303/003</t>
  </si>
  <si>
    <t>2303/002</t>
  </si>
  <si>
    <t>2303/001</t>
  </si>
  <si>
    <t>Farm Staff Costs - Staff Welfare</t>
  </si>
  <si>
    <t>Farm Staff Costs - Housing</t>
  </si>
  <si>
    <t>Farm Staff Costs - Transport</t>
  </si>
  <si>
    <t>Farm Staff Costs - Protective Clothing</t>
  </si>
  <si>
    <t>Farm Staff Costs - Medical</t>
  </si>
  <si>
    <t>Farm Staff Costs - Training</t>
  </si>
  <si>
    <t>Farm Staff Costs - General</t>
  </si>
  <si>
    <t>Farm Staff Costs - Salaries &amp; Wages</t>
  </si>
  <si>
    <t>2450/150</t>
  </si>
  <si>
    <t xml:space="preserve">Farm Staff Costs - NSSA </t>
  </si>
  <si>
    <t>Farm Staff Costs - Casual Wages</t>
  </si>
  <si>
    <t>2500/000</t>
  </si>
  <si>
    <t>Repairs &amp; Maintanace - Workshop Costs</t>
  </si>
  <si>
    <t>Workshop - Building Repairs &amp; Maintanace</t>
  </si>
  <si>
    <t>Workshop - Fencing &amp; Facility - R&amp;M</t>
  </si>
  <si>
    <t>Workshop - Machinery Maintenance</t>
  </si>
  <si>
    <t>2500/030</t>
  </si>
  <si>
    <t>Workshop - Tractor Maintanance</t>
  </si>
  <si>
    <t>Workshop - Vehicle Maintanance</t>
  </si>
  <si>
    <t>Workshop - Water &amp; Pumping - R&amp;M</t>
  </si>
  <si>
    <t>Workshop - Consumables</t>
  </si>
  <si>
    <t>2500/045</t>
  </si>
  <si>
    <t>Workshop - Tyres</t>
  </si>
  <si>
    <t>Infrastructure Development</t>
  </si>
  <si>
    <t>Infrastructure Development Costs</t>
  </si>
  <si>
    <t>ID - Hire of Equipment</t>
  </si>
  <si>
    <t>3325/002</t>
  </si>
  <si>
    <t>ID - Transport</t>
  </si>
  <si>
    <t>ID - Workshop Consumables</t>
  </si>
  <si>
    <t>ID - Small Tools</t>
  </si>
  <si>
    <t>3325/006</t>
  </si>
  <si>
    <t>ID - Buildings Maintenance</t>
  </si>
  <si>
    <t>ID - Fencing Maintenance</t>
  </si>
  <si>
    <t>ID - Handling Facility Maintenance</t>
  </si>
  <si>
    <t>3325/007</t>
  </si>
  <si>
    <t>ID - Machinery Maintenance</t>
  </si>
  <si>
    <t>3325/008</t>
  </si>
  <si>
    <t>ID - Motor Vehicle Maintenance</t>
  </si>
  <si>
    <t>3325/009</t>
  </si>
  <si>
    <t>ID - Tyres</t>
  </si>
  <si>
    <t>ID - Fuel - Diesel</t>
  </si>
  <si>
    <t>ID - Fuel - Petrol</t>
  </si>
  <si>
    <t>ID - Fuel - Oil &amp; Lubrication</t>
  </si>
  <si>
    <t>ID - Staff Costs</t>
  </si>
  <si>
    <t>ID Staff Costs - Staff Welfare</t>
  </si>
  <si>
    <t>ID Staff Costs - Housing</t>
  </si>
  <si>
    <t>ID Staff Costs - Transport</t>
  </si>
  <si>
    <t>ID Staff Costs - Protective Clothing</t>
  </si>
  <si>
    <t>ID Staff Costs - Medical</t>
  </si>
  <si>
    <t>ID Staff Costs - Training</t>
  </si>
  <si>
    <t>ID Staff Costs - General</t>
  </si>
  <si>
    <t>3325/070</t>
  </si>
  <si>
    <t>ID Staff Costs - Salaries &amp; Wages</t>
  </si>
  <si>
    <t>ID Staff Costs - NSSA Employee Contribution</t>
  </si>
  <si>
    <t>3325/080</t>
  </si>
  <si>
    <t>ID Staff Costs - Casual Wages</t>
  </si>
  <si>
    <t>Total Overhead Costs</t>
  </si>
  <si>
    <t>Overhead Costs</t>
  </si>
  <si>
    <t>3000/000</t>
  </si>
  <si>
    <t>Overheads - Accounting Fees</t>
  </si>
  <si>
    <t>Overheads - Admin Fee</t>
  </si>
  <si>
    <t>3050/000</t>
  </si>
  <si>
    <t>Overheads - Advertising &amp; Promotions</t>
  </si>
  <si>
    <t>3300/000</t>
  </si>
  <si>
    <t>Overheads - Computer Expenses</t>
  </si>
  <si>
    <t>3350/001</t>
  </si>
  <si>
    <t>3350/002</t>
  </si>
  <si>
    <t>3350/003</t>
  </si>
  <si>
    <t>3350/004</t>
  </si>
  <si>
    <t>3350/005</t>
  </si>
  <si>
    <t>3350/070</t>
  </si>
  <si>
    <t>Overheads - Farm Inspection Expenses</t>
  </si>
  <si>
    <t>4100/011</t>
  </si>
  <si>
    <t>Overheads - General Expenses</t>
  </si>
  <si>
    <t>4100/012</t>
  </si>
  <si>
    <t>4100/013</t>
  </si>
  <si>
    <t>Overheads - Legal Fees</t>
  </si>
  <si>
    <t>4100/014</t>
  </si>
  <si>
    <t>Overheads - Levies</t>
  </si>
  <si>
    <t>4100/015</t>
  </si>
  <si>
    <t>3200/010</t>
  </si>
  <si>
    <t>Overheads - Printing &amp; Stationary</t>
  </si>
  <si>
    <t>2550/000</t>
  </si>
  <si>
    <t>Overheads - Research &amp; Development</t>
  </si>
  <si>
    <t>4100/018</t>
  </si>
  <si>
    <t>Overheads - Subscriptions</t>
  </si>
  <si>
    <t>4100/019</t>
  </si>
  <si>
    <t>Overheads - Teas &amp; Cleanings</t>
  </si>
  <si>
    <t>3200/020</t>
  </si>
  <si>
    <t xml:space="preserve">Overheads - Telephone </t>
  </si>
  <si>
    <t>Overheads - Property Costs</t>
  </si>
  <si>
    <t>4200/001</t>
  </si>
  <si>
    <t>4200/002</t>
  </si>
  <si>
    <t>4200/003</t>
  </si>
  <si>
    <t>Overheads - Rent Paid</t>
  </si>
  <si>
    <t>4200/004</t>
  </si>
  <si>
    <t>Overheads - Rent Paid Farm</t>
  </si>
  <si>
    <t>4200/005</t>
  </si>
  <si>
    <t>Overheads - Rent Paid Office</t>
  </si>
  <si>
    <t>4200/006</t>
  </si>
  <si>
    <t>Overheads - Rent Paid Warehouse</t>
  </si>
  <si>
    <t>4300/000</t>
  </si>
  <si>
    <t>Overheads - Finance Charges</t>
  </si>
  <si>
    <t>Overheads - Depreciation</t>
  </si>
  <si>
    <t>4300/002</t>
  </si>
  <si>
    <t>Overheads - Discount Allowed for Cash</t>
  </si>
  <si>
    <t>4300/003</t>
  </si>
  <si>
    <t>Overheads - Directors Fees &amp; Remun.</t>
  </si>
  <si>
    <t>3150/000</t>
  </si>
  <si>
    <t>Overheads - Bad Debts Written Off</t>
  </si>
  <si>
    <t>3200/000</t>
  </si>
  <si>
    <t>Overheads - Bank Charges</t>
  </si>
  <si>
    <t>Overheads - Bank Charges CABS</t>
  </si>
  <si>
    <t>3200/002</t>
  </si>
  <si>
    <t>Overheads - Bank Charges Stanbic</t>
  </si>
  <si>
    <t>4300/007</t>
  </si>
  <si>
    <t>Overheads - Cattle Insurance</t>
  </si>
  <si>
    <t>4300/008</t>
  </si>
  <si>
    <t>Overheads - Other Insurance</t>
  </si>
  <si>
    <t>4300/009</t>
  </si>
  <si>
    <t>Overheads - Bank Interest Paid</t>
  </si>
  <si>
    <t>4300/010</t>
  </si>
  <si>
    <t>Overheads - Other Interest paid</t>
  </si>
  <si>
    <t>4400/000</t>
  </si>
  <si>
    <t>4400/001</t>
  </si>
  <si>
    <t>Overheads - Travel - Overseas</t>
  </si>
  <si>
    <t>4400/002</t>
  </si>
  <si>
    <t>4400/003</t>
  </si>
  <si>
    <t>Overheads - Milage</t>
  </si>
  <si>
    <t>4400/004</t>
  </si>
  <si>
    <t>Overheads - Accomodation</t>
  </si>
  <si>
    <t>4400/005</t>
  </si>
  <si>
    <t>Overheads - Transport &amp; Taxi Fees</t>
  </si>
  <si>
    <t>5000/000</t>
  </si>
  <si>
    <t>Head Office Overhead Costs</t>
  </si>
  <si>
    <t>5100/000</t>
  </si>
  <si>
    <t>Head Office Overheads - Staff Costs</t>
  </si>
  <si>
    <t>5100/001</t>
  </si>
  <si>
    <t>HO Staff Costs - Staff Welfare</t>
  </si>
  <si>
    <t>5100/002</t>
  </si>
  <si>
    <t>HO Staff Costs - Housing</t>
  </si>
  <si>
    <t>5100/003</t>
  </si>
  <si>
    <t>HO Staff Costs - Transport</t>
  </si>
  <si>
    <t>5100/004</t>
  </si>
  <si>
    <t>HO Staff Costs - Protective Clothing</t>
  </si>
  <si>
    <t>5100/005</t>
  </si>
  <si>
    <t>HO Staff Costs - Medical</t>
  </si>
  <si>
    <t>5100/006</t>
  </si>
  <si>
    <t>HO Staff Costs - Training</t>
  </si>
  <si>
    <t>5100/007</t>
  </si>
  <si>
    <t>HO Staff Costs - General</t>
  </si>
  <si>
    <t>5100/008</t>
  </si>
  <si>
    <t>HO Staff Costs - Salaries &amp; Wages</t>
  </si>
  <si>
    <t>5100/009</t>
  </si>
  <si>
    <t>HO Staff Costs - NSSA Employee Contribution</t>
  </si>
  <si>
    <t>5100/010</t>
  </si>
  <si>
    <t>HO Staff Costs - Casual Wages</t>
  </si>
  <si>
    <t>5200/000</t>
  </si>
  <si>
    <t>Overheads Motor Vehicle Expenses</t>
  </si>
  <si>
    <t>5200/001</t>
  </si>
  <si>
    <t>HO Overheads - Motor Vehicle R &amp; M</t>
  </si>
  <si>
    <t>5200/002</t>
  </si>
  <si>
    <t>HO Overheads - Fuel Petrol</t>
  </si>
  <si>
    <t>5200/003</t>
  </si>
  <si>
    <t>HO Overheads - Fuel Diesel</t>
  </si>
  <si>
    <t>5200/004</t>
  </si>
  <si>
    <t>HO Overheads - Oil &amp; Lubrication</t>
  </si>
  <si>
    <t>5200/005</t>
  </si>
  <si>
    <t>HO Overheads - Tollfees and Parking</t>
  </si>
  <si>
    <t>5200/006</t>
  </si>
  <si>
    <t>HO Overheads - Licences</t>
  </si>
  <si>
    <t>5200/007</t>
  </si>
  <si>
    <t>HO Overheads - Insurance</t>
  </si>
  <si>
    <t>7000/000</t>
  </si>
  <si>
    <t>Accounting Adjustments</t>
  </si>
  <si>
    <t>7000/001</t>
  </si>
  <si>
    <t>Normal Taxation</t>
  </si>
  <si>
    <t>7000/002</t>
  </si>
  <si>
    <t>Deferred Taxation</t>
  </si>
  <si>
    <t>7000/003</t>
  </si>
  <si>
    <t>Dividends Declared / Paid</t>
  </si>
  <si>
    <t>7000/004</t>
  </si>
  <si>
    <t>Licences and Permits</t>
  </si>
  <si>
    <t>7000/005</t>
  </si>
  <si>
    <t>Overheads - Managment fee</t>
  </si>
  <si>
    <t>7000/006</t>
  </si>
  <si>
    <t>Share Holders/ Directors/ Members Loans</t>
  </si>
  <si>
    <t>7000/007</t>
  </si>
  <si>
    <t>Land &amp; Buildings - Net Value</t>
  </si>
  <si>
    <t>7000/008</t>
  </si>
  <si>
    <t>Land &amp; Buildings - @ Cost</t>
  </si>
  <si>
    <t>7000/009</t>
  </si>
  <si>
    <t>Land &amp; Buildings - Accum Depre</t>
  </si>
  <si>
    <t>7000/010</t>
  </si>
  <si>
    <t>Plant &amp; Machinery - Net Value</t>
  </si>
  <si>
    <t>7000/011</t>
  </si>
  <si>
    <t>Plant &amp; Machinery - @ Cost</t>
  </si>
  <si>
    <t>7000/012</t>
  </si>
  <si>
    <t>Plant &amp; Machinery - Accum Depre</t>
  </si>
  <si>
    <t>7000/013</t>
  </si>
  <si>
    <t>Motor Vehicles - Net Value</t>
  </si>
  <si>
    <t>7000/014</t>
  </si>
  <si>
    <t>Motor Vehicles - @ Cost</t>
  </si>
  <si>
    <t>7000/015</t>
  </si>
  <si>
    <t>Motor Vehicles - Accum Depre</t>
  </si>
  <si>
    <t>7000/016</t>
  </si>
  <si>
    <t>Computer Equipment - Net Value</t>
  </si>
  <si>
    <t>7000/017</t>
  </si>
  <si>
    <t>Computer Equipment - @ Cost</t>
  </si>
  <si>
    <t>7000/018</t>
  </si>
  <si>
    <t>Computer Equipment - Accum Depre</t>
  </si>
  <si>
    <t>7000/019</t>
  </si>
  <si>
    <t>Office Equipment - Net Value</t>
  </si>
  <si>
    <t>7000/020</t>
  </si>
  <si>
    <t>Office Equipment - @ Cost</t>
  </si>
  <si>
    <t>7000/021</t>
  </si>
  <si>
    <t>Office Equipment - Accum Depre</t>
  </si>
  <si>
    <t>7000/022</t>
  </si>
  <si>
    <t>Furniture &amp; Fittings - Net value</t>
  </si>
  <si>
    <t>7000/023</t>
  </si>
  <si>
    <t>Furniture &amp; Fittings - @ Cost</t>
  </si>
  <si>
    <t>7000/024</t>
  </si>
  <si>
    <t>Furniture &amp; Fittings - Accum Depre</t>
  </si>
  <si>
    <t>7000/025</t>
  </si>
  <si>
    <t>Farming Equipment - Net Value</t>
  </si>
  <si>
    <t>7000/026</t>
  </si>
  <si>
    <t>Farming Equipment - @ Cost</t>
  </si>
  <si>
    <t>7000/027</t>
  </si>
  <si>
    <t>Farming Equipment - Accum Depre</t>
  </si>
  <si>
    <t>7000/028</t>
  </si>
  <si>
    <t>Other Fixed Assets - Net Value</t>
  </si>
  <si>
    <t>7000/029</t>
  </si>
  <si>
    <t>Other Fixed Assets - @ Cost</t>
  </si>
  <si>
    <t>7000/030</t>
  </si>
  <si>
    <t>Other Fixed Assets - Accum Depre</t>
  </si>
  <si>
    <t xml:space="preserve">7500/000 </t>
  </si>
  <si>
    <t>7501/000</t>
  </si>
  <si>
    <t>Farm A Handling Facility Prepayments</t>
  </si>
  <si>
    <t>7501/001</t>
  </si>
  <si>
    <t>Poles</t>
  </si>
  <si>
    <t>7501/002</t>
  </si>
  <si>
    <t>Pipes</t>
  </si>
  <si>
    <t>7501/003</t>
  </si>
  <si>
    <t>Wire</t>
  </si>
  <si>
    <t>7501/004</t>
  </si>
  <si>
    <t>Building Materials</t>
  </si>
  <si>
    <t>7501/005</t>
  </si>
  <si>
    <t>Steel</t>
  </si>
  <si>
    <t>7501/006</t>
  </si>
  <si>
    <t>Equipment Hire</t>
  </si>
  <si>
    <t>7501/007</t>
  </si>
  <si>
    <t>Pumps</t>
  </si>
  <si>
    <t>7501/008</t>
  </si>
  <si>
    <t>Water Fittings</t>
  </si>
  <si>
    <t>7501/009</t>
  </si>
  <si>
    <t>Workshop Conumables</t>
  </si>
  <si>
    <t>7501/010</t>
  </si>
  <si>
    <t>Diesel</t>
  </si>
  <si>
    <t>7501/011</t>
  </si>
  <si>
    <t>Petrol</t>
  </si>
  <si>
    <t>7501/012</t>
  </si>
  <si>
    <t>Oil &amp; Lubs</t>
  </si>
  <si>
    <t>7501/013</t>
  </si>
  <si>
    <t>Labour</t>
  </si>
  <si>
    <t>7501/014</t>
  </si>
  <si>
    <t>Consulting Fees</t>
  </si>
  <si>
    <t>7501/015</t>
  </si>
  <si>
    <t>Mileage</t>
  </si>
  <si>
    <t>8000/000</t>
  </si>
  <si>
    <t>Stock on Hand - Cattle</t>
  </si>
  <si>
    <t>8000/001</t>
  </si>
  <si>
    <t>Stock on Hand - Other</t>
  </si>
  <si>
    <t>8100/000</t>
  </si>
  <si>
    <t>Overheads - Permits and licences</t>
  </si>
  <si>
    <t>8150/000</t>
  </si>
  <si>
    <t>Other receivables</t>
  </si>
  <si>
    <t>8200/000</t>
  </si>
  <si>
    <t>Sundry Customers</t>
  </si>
  <si>
    <t>8200/020</t>
  </si>
  <si>
    <t>Staff Loans</t>
  </si>
  <si>
    <t>9200/000</t>
  </si>
  <si>
    <t>Sundry Suppliers</t>
  </si>
  <si>
    <t>9200/010</t>
  </si>
  <si>
    <t>Accounting / Audit Fee Accrual</t>
  </si>
  <si>
    <t>9200/020</t>
  </si>
  <si>
    <t>Other Accruals</t>
  </si>
  <si>
    <t>9300/000</t>
  </si>
  <si>
    <t>Taxation Payable</t>
  </si>
  <si>
    <t>9350/000</t>
  </si>
  <si>
    <t>Dividends Payable</t>
  </si>
  <si>
    <t>Summer Maintenance</t>
  </si>
  <si>
    <t>Winter Maintenance</t>
  </si>
  <si>
    <t>Special Nutrition</t>
  </si>
  <si>
    <t xml:space="preserve">ACCOUNTS </t>
  </si>
  <si>
    <t>Cash Flow</t>
  </si>
  <si>
    <t>Total per Annum</t>
  </si>
  <si>
    <t>Premium</t>
  </si>
  <si>
    <t>Stamp Fee</t>
  </si>
  <si>
    <t>Total/annum</t>
  </si>
  <si>
    <t>Total/month</t>
  </si>
  <si>
    <t>Insurance</t>
  </si>
  <si>
    <t>Depr. Over 5 yrs</t>
  </si>
  <si>
    <t>Intrest 12%</t>
  </si>
  <si>
    <t>Salvage value 10000</t>
  </si>
  <si>
    <t xml:space="preserve">Depr. Over 5yrs </t>
  </si>
  <si>
    <t>Salvage value 5000</t>
  </si>
  <si>
    <t>Mortality</t>
  </si>
  <si>
    <t>Cost per LSU -  Vehicle Costs</t>
  </si>
  <si>
    <t>Depr. Over 15 years</t>
  </si>
  <si>
    <t>Salvage value 0</t>
  </si>
  <si>
    <t>Cost per LSU - Fixed Assets Depr.</t>
  </si>
  <si>
    <t>Calving%</t>
  </si>
  <si>
    <t xml:space="preserve">Feed </t>
  </si>
  <si>
    <t xml:space="preserve">Jan </t>
  </si>
  <si>
    <t xml:space="preserve">P6 Summer Lick </t>
  </si>
  <si>
    <t>Chicken Litter</t>
  </si>
  <si>
    <t xml:space="preserve">Cotton Hulls </t>
  </si>
  <si>
    <t>Feed Grade Urea</t>
  </si>
  <si>
    <t>Molasses</t>
  </si>
  <si>
    <t>Salt</t>
  </si>
  <si>
    <t>-</t>
  </si>
  <si>
    <t xml:space="preserve">Vets and Meds </t>
  </si>
  <si>
    <t>Supa-Dip</t>
  </si>
  <si>
    <t>General Treatments</t>
  </si>
  <si>
    <t>Supavax</t>
  </si>
  <si>
    <t>S19 Brucelosis</t>
  </si>
  <si>
    <t>Vibrin</t>
  </si>
  <si>
    <t>Lumpyvax</t>
  </si>
  <si>
    <t>Bimectin</t>
  </si>
  <si>
    <t>Multimin</t>
  </si>
  <si>
    <t>Bull Testing</t>
  </si>
  <si>
    <t xml:space="preserve">Ear Tags </t>
  </si>
  <si>
    <t>Flucazole</t>
  </si>
  <si>
    <t xml:space="preserve">Labour </t>
  </si>
  <si>
    <t xml:space="preserve">Foreman </t>
  </si>
  <si>
    <t xml:space="preserve">Security Guard </t>
  </si>
  <si>
    <t xml:space="preserve">Driver </t>
  </si>
  <si>
    <t xml:space="preserve">Domestic </t>
  </si>
  <si>
    <t xml:space="preserve">Herdsman </t>
  </si>
  <si>
    <t xml:space="preserve">Casual </t>
  </si>
  <si>
    <t>Cfwd from 2021</t>
  </si>
  <si>
    <t>Break Even Calf Price</t>
  </si>
  <si>
    <t>Unit Value 2023</t>
  </si>
  <si>
    <t>Bio Asset 2023</t>
  </si>
  <si>
    <t xml:space="preserve"> TOTAL COST OF MEDICAL</t>
  </si>
  <si>
    <t xml:space="preserve"> ANNUAL LIVESTOCK MEDICAL PROGRAM</t>
  </si>
  <si>
    <t xml:space="preserve"> ACTUAL LIVESTOCK RETURN</t>
  </si>
  <si>
    <t xml:space="preserve"> TOTAL COST PER TREATMENT</t>
  </si>
  <si>
    <t xml:space="preserve">RANCH REVENUE ASSUMPTIONS </t>
  </si>
  <si>
    <t>Bio assets movements</t>
  </si>
  <si>
    <t xml:space="preserve">Cash Carried forward </t>
  </si>
  <si>
    <t>Cfwd to 2027</t>
  </si>
  <si>
    <t>CFwd to 2027</t>
  </si>
  <si>
    <t>Unit Value 2026</t>
  </si>
  <si>
    <t>Bio Asset 2026</t>
  </si>
  <si>
    <t>2026 ANNUAL LIVESTOCK FEED PROGRAM</t>
  </si>
  <si>
    <t>2026 FORECAST/ACTUAL LIVESTOCK RETURN</t>
  </si>
  <si>
    <t>CFwd to 2026</t>
  </si>
  <si>
    <t>2026 TOTAL COST OF FEED</t>
  </si>
  <si>
    <t>2026 TOTAL FEED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</si>
</sst>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-* #,##0_-;\-* #,##0_-;_-* &quot;-&quot;??_-;_-@_-"/>
    <numFmt numFmtId="167" formatCode="0_ ;[Red]\-0\ "/>
    <numFmt numFmtId="168" formatCode="_ * #,##0.00_ ;_ * \-#,##0.00_ ;_ * &quot;-&quot;??_ ;_ @_ "/>
    <numFmt numFmtId="169" formatCode="_(* #,##0.0_);_(* \(#,##0.0\);_(* &quot;-&quot;??_);_(@_)"/>
    <numFmt numFmtId="170" formatCode="0.0%"/>
    <numFmt numFmtId="171" formatCode="_-[$ZAR]\ * #,##0.00_-;\-[$ZAR]\ * #,##0.00_-;_-[$ZAR]\ * &quot;-&quot;??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Palatino Linotype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6"/>
      <color theme="1"/>
      <name val="Arial"/>
      <family val="2"/>
    </font>
    <font>
      <sz val="9"/>
      <color theme="2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8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4" fillId="0" borderId="0"/>
    <xf numFmtId="165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5">
    <xf numFmtId="0" fontId="0" fillId="0" borderId="0" xfId="0"/>
    <xf numFmtId="0" fontId="7" fillId="0" borderId="0" xfId="0" applyFont="1"/>
    <xf numFmtId="3" fontId="0" fillId="0" borderId="0" xfId="0" applyNumberFormat="1"/>
    <xf numFmtId="0" fontId="5" fillId="2" borderId="1" xfId="0" applyFont="1" applyFill="1" applyBorder="1"/>
    <xf numFmtId="0" fontId="5" fillId="2" borderId="2" xfId="0" applyFont="1" applyFill="1" applyBorder="1"/>
    <xf numFmtId="0" fontId="2" fillId="2" borderId="3" xfId="0" applyFont="1" applyFill="1" applyBorder="1"/>
    <xf numFmtId="3" fontId="0" fillId="0" borderId="2" xfId="0" applyNumberFormat="1" applyBorder="1"/>
    <xf numFmtId="0" fontId="0" fillId="0" borderId="2" xfId="0" applyBorder="1"/>
    <xf numFmtId="3" fontId="5" fillId="2" borderId="2" xfId="0" applyNumberFormat="1" applyFont="1" applyFill="1" applyBorder="1"/>
    <xf numFmtId="9" fontId="5" fillId="2" borderId="4" xfId="1" applyFont="1" applyFill="1" applyBorder="1"/>
    <xf numFmtId="0" fontId="0" fillId="3" borderId="1" xfId="0" applyFill="1" applyBorder="1"/>
    <xf numFmtId="0" fontId="0" fillId="3" borderId="2" xfId="0" applyFill="1" applyBorder="1"/>
    <xf numFmtId="0" fontId="4" fillId="3" borderId="2" xfId="0" applyFont="1" applyFill="1" applyBorder="1"/>
    <xf numFmtId="3" fontId="0" fillId="0" borderId="1" xfId="0" applyNumberFormat="1" applyBorder="1"/>
    <xf numFmtId="3" fontId="8" fillId="3" borderId="2" xfId="0" applyNumberFormat="1" applyFont="1" applyFill="1" applyBorder="1"/>
    <xf numFmtId="9" fontId="0" fillId="3" borderId="4" xfId="1" applyFont="1" applyFill="1" applyBorder="1"/>
    <xf numFmtId="0" fontId="0" fillId="0" borderId="5" xfId="0" applyBorder="1"/>
    <xf numFmtId="3" fontId="0" fillId="0" borderId="5" xfId="0" applyNumberFormat="1" applyBorder="1"/>
    <xf numFmtId="9" fontId="0" fillId="0" borderId="6" xfId="1" applyFont="1" applyBorder="1"/>
    <xf numFmtId="0" fontId="0" fillId="0" borderId="7" xfId="0" applyBorder="1"/>
    <xf numFmtId="0" fontId="0" fillId="0" borderId="8" xfId="0" applyBorder="1"/>
    <xf numFmtId="3" fontId="0" fillId="0" borderId="7" xfId="0" applyNumberFormat="1" applyBorder="1"/>
    <xf numFmtId="3" fontId="0" fillId="0" borderId="8" xfId="0" applyNumberFormat="1" applyBorder="1"/>
    <xf numFmtId="3" fontId="8" fillId="0" borderId="8" xfId="0" applyNumberFormat="1" applyFont="1" applyBorder="1"/>
    <xf numFmtId="9" fontId="0" fillId="0" borderId="9" xfId="1" applyFont="1" applyBorder="1"/>
    <xf numFmtId="0" fontId="0" fillId="4" borderId="1" xfId="0" applyFill="1" applyBorder="1"/>
    <xf numFmtId="0" fontId="0" fillId="4" borderId="2" xfId="0" applyFill="1" applyBorder="1"/>
    <xf numFmtId="0" fontId="4" fillId="4" borderId="10" xfId="0" applyFont="1" applyFill="1" applyBorder="1"/>
    <xf numFmtId="3" fontId="0" fillId="5" borderId="2" xfId="0" applyNumberFormat="1" applyFill="1" applyBorder="1"/>
    <xf numFmtId="9" fontId="0" fillId="5" borderId="4" xfId="1" applyFont="1" applyFill="1" applyBorder="1"/>
    <xf numFmtId="0" fontId="0" fillId="0" borderId="5" xfId="0" quotePrefix="1" applyBorder="1"/>
    <xf numFmtId="0" fontId="0" fillId="0" borderId="0" xfId="0" quotePrefix="1"/>
    <xf numFmtId="0" fontId="0" fillId="0" borderId="7" xfId="0" quotePrefix="1" applyBorder="1"/>
    <xf numFmtId="0" fontId="0" fillId="0" borderId="8" xfId="0" quotePrefix="1" applyBorder="1"/>
    <xf numFmtId="0" fontId="4" fillId="4" borderId="1" xfId="0" quotePrefix="1" applyFont="1" applyFill="1" applyBorder="1"/>
    <xf numFmtId="0" fontId="4" fillId="4" borderId="2" xfId="0" quotePrefix="1" applyFont="1" applyFill="1" applyBorder="1"/>
    <xf numFmtId="0" fontId="4" fillId="4" borderId="10" xfId="0" quotePrefix="1" applyFont="1" applyFill="1" applyBorder="1"/>
    <xf numFmtId="0" fontId="9" fillId="6" borderId="7" xfId="0" applyFont="1" applyFill="1" applyBorder="1"/>
    <xf numFmtId="0" fontId="4" fillId="7" borderId="8" xfId="0" quotePrefix="1" applyFont="1" applyFill="1" applyBorder="1"/>
    <xf numFmtId="0" fontId="0" fillId="7" borderId="8" xfId="0" quotePrefix="1" applyFill="1" applyBorder="1"/>
    <xf numFmtId="0" fontId="4" fillId="0" borderId="0" xfId="0" quotePrefix="1" applyFont="1"/>
    <xf numFmtId="0" fontId="0" fillId="4" borderId="1" xfId="0" quotePrefix="1" applyFill="1" applyBorder="1"/>
    <xf numFmtId="0" fontId="0" fillId="4" borderId="2" xfId="0" quotePrefix="1" applyFill="1" applyBorder="1"/>
    <xf numFmtId="0" fontId="9" fillId="6" borderId="5" xfId="0" applyFont="1" applyFill="1" applyBorder="1"/>
    <xf numFmtId="0" fontId="2" fillId="8" borderId="11" xfId="0" applyFont="1" applyFill="1" applyBorder="1"/>
    <xf numFmtId="0" fontId="2" fillId="8" borderId="12" xfId="0" applyFont="1" applyFill="1" applyBorder="1"/>
    <xf numFmtId="0" fontId="2" fillId="8" borderId="13" xfId="0" applyFont="1" applyFill="1" applyBorder="1"/>
    <xf numFmtId="1" fontId="0" fillId="0" borderId="12" xfId="0" applyNumberFormat="1" applyBorder="1"/>
    <xf numFmtId="0" fontId="0" fillId="0" borderId="12" xfId="0" applyBorder="1"/>
    <xf numFmtId="3" fontId="5" fillId="8" borderId="12" xfId="0" applyNumberFormat="1" applyFont="1" applyFill="1" applyBorder="1" applyAlignment="1">
      <alignment wrapText="1"/>
    </xf>
    <xf numFmtId="0" fontId="0" fillId="0" borderId="13" xfId="0" applyBorder="1"/>
    <xf numFmtId="0" fontId="2" fillId="8" borderId="7" xfId="0" applyFont="1" applyFill="1" applyBorder="1"/>
    <xf numFmtId="0" fontId="2" fillId="8" borderId="8" xfId="0" applyFont="1" applyFill="1" applyBorder="1"/>
    <xf numFmtId="0" fontId="2" fillId="8" borderId="9" xfId="0" applyFont="1" applyFill="1" applyBorder="1"/>
    <xf numFmtId="2" fontId="0" fillId="0" borderId="8" xfId="0" applyNumberFormat="1" applyBorder="1"/>
    <xf numFmtId="3" fontId="10" fillId="8" borderId="8" xfId="0" applyNumberFormat="1" applyFont="1" applyFill="1" applyBorder="1"/>
    <xf numFmtId="0" fontId="0" fillId="0" borderId="9" xfId="0" applyBorder="1"/>
    <xf numFmtId="0" fontId="11" fillId="9" borderId="1" xfId="0" applyFont="1" applyFill="1" applyBorder="1"/>
    <xf numFmtId="0" fontId="11" fillId="9" borderId="2" xfId="0" applyFont="1" applyFill="1" applyBorder="1"/>
    <xf numFmtId="0" fontId="11" fillId="9" borderId="4" xfId="0" applyFont="1" applyFill="1" applyBorder="1"/>
    <xf numFmtId="0" fontId="11" fillId="0" borderId="2" xfId="0" applyFont="1" applyBorder="1"/>
    <xf numFmtId="3" fontId="11" fillId="9" borderId="2" xfId="0" applyNumberFormat="1" applyFont="1" applyFill="1" applyBorder="1"/>
    <xf numFmtId="9" fontId="11" fillId="9" borderId="4" xfId="1" applyFont="1" applyFill="1" applyBorder="1"/>
    <xf numFmtId="0" fontId="11" fillId="0" borderId="0" xfId="0" applyFont="1"/>
    <xf numFmtId="0" fontId="4" fillId="0" borderId="0" xfId="0" applyFont="1"/>
    <xf numFmtId="9" fontId="0" fillId="0" borderId="0" xfId="1" applyFont="1" applyFill="1" applyBorder="1"/>
    <xf numFmtId="0" fontId="11" fillId="10" borderId="1" xfId="0" applyFont="1" applyFill="1" applyBorder="1"/>
    <xf numFmtId="0" fontId="11" fillId="10" borderId="2" xfId="0" applyFont="1" applyFill="1" applyBorder="1"/>
    <xf numFmtId="0" fontId="11" fillId="10" borderId="4" xfId="0" applyFont="1" applyFill="1" applyBorder="1"/>
    <xf numFmtId="3" fontId="11" fillId="10" borderId="2" xfId="0" applyNumberFormat="1" applyFont="1" applyFill="1" applyBorder="1"/>
    <xf numFmtId="9" fontId="11" fillId="10" borderId="4" xfId="1" applyFont="1" applyFill="1" applyBorder="1"/>
    <xf numFmtId="0" fontId="4" fillId="11" borderId="1" xfId="0" quotePrefix="1" applyFont="1" applyFill="1" applyBorder="1"/>
    <xf numFmtId="0" fontId="4" fillId="11" borderId="2" xfId="0" quotePrefix="1" applyFont="1" applyFill="1" applyBorder="1"/>
    <xf numFmtId="0" fontId="4" fillId="11" borderId="4" xfId="0" quotePrefix="1" applyFont="1" applyFill="1" applyBorder="1"/>
    <xf numFmtId="0" fontId="0" fillId="11" borderId="2" xfId="0" applyFill="1" applyBorder="1"/>
    <xf numFmtId="9" fontId="0" fillId="0" borderId="4" xfId="1" applyFont="1" applyFill="1" applyBorder="1"/>
    <xf numFmtId="0" fontId="0" fillId="12" borderId="0" xfId="0" applyFill="1"/>
    <xf numFmtId="0" fontId="4" fillId="7" borderId="0" xfId="0" quotePrefix="1" applyFont="1" applyFill="1"/>
    <xf numFmtId="0" fontId="0" fillId="7" borderId="0" xfId="0" quotePrefix="1" applyFill="1"/>
    <xf numFmtId="0" fontId="0" fillId="11" borderId="1" xfId="0" quotePrefix="1" applyFill="1" applyBorder="1"/>
    <xf numFmtId="0" fontId="0" fillId="11" borderId="2" xfId="0" quotePrefix="1" applyFill="1" applyBorder="1"/>
    <xf numFmtId="0" fontId="0" fillId="11" borderId="1" xfId="0" applyFill="1" applyBorder="1"/>
    <xf numFmtId="0" fontId="4" fillId="11" borderId="1" xfId="0" applyFont="1" applyFill="1" applyBorder="1"/>
    <xf numFmtId="0" fontId="4" fillId="11" borderId="2" xfId="0" applyFont="1" applyFill="1" applyBorder="1"/>
    <xf numFmtId="0" fontId="4" fillId="11" borderId="10" xfId="0" applyFont="1" applyFill="1" applyBorder="1"/>
    <xf numFmtId="0" fontId="9" fillId="7" borderId="0" xfId="0" applyFont="1" applyFill="1"/>
    <xf numFmtId="164" fontId="12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5" fillId="13" borderId="14" xfId="2" applyFont="1" applyFill="1" applyBorder="1" applyAlignment="1">
      <alignment vertical="center"/>
    </xf>
    <xf numFmtId="0" fontId="0" fillId="0" borderId="15" xfId="0" applyBorder="1"/>
    <xf numFmtId="0" fontId="16" fillId="13" borderId="15" xfId="2" applyFont="1" applyFill="1" applyBorder="1"/>
    <xf numFmtId="164" fontId="12" fillId="0" borderId="14" xfId="0" applyNumberFormat="1" applyFont="1" applyBorder="1"/>
    <xf numFmtId="164" fontId="13" fillId="0" borderId="16" xfId="0" applyNumberFormat="1" applyFont="1" applyBorder="1"/>
    <xf numFmtId="164" fontId="13" fillId="0" borderId="17" xfId="0" applyNumberFormat="1" applyFont="1" applyBorder="1"/>
    <xf numFmtId="164" fontId="13" fillId="0" borderId="14" xfId="0" applyNumberFormat="1" applyFont="1" applyBorder="1"/>
    <xf numFmtId="17" fontId="15" fillId="14" borderId="14" xfId="2" applyNumberFormat="1" applyFont="1" applyFill="1" applyBorder="1" applyAlignment="1">
      <alignment horizontal="left"/>
    </xf>
    <xf numFmtId="0" fontId="15" fillId="0" borderId="15" xfId="2" applyFont="1" applyBorder="1" applyAlignment="1">
      <alignment vertical="center" wrapText="1"/>
    </xf>
    <xf numFmtId="164" fontId="0" fillId="0" borderId="0" xfId="0" applyNumberFormat="1"/>
    <xf numFmtId="164" fontId="13" fillId="0" borderId="17" xfId="3" applyNumberFormat="1" applyFont="1" applyBorder="1"/>
    <xf numFmtId="0" fontId="15" fillId="15" borderId="17" xfId="2" applyFont="1" applyFill="1" applyBorder="1" applyAlignment="1">
      <alignment horizontal="left"/>
    </xf>
    <xf numFmtId="164" fontId="13" fillId="0" borderId="14" xfId="3" applyNumberFormat="1" applyFont="1" applyBorder="1"/>
    <xf numFmtId="0" fontId="15" fillId="16" borderId="14" xfId="2" applyFont="1" applyFill="1" applyBorder="1" applyAlignment="1">
      <alignment horizontal="left"/>
    </xf>
    <xf numFmtId="0" fontId="16" fillId="13" borderId="15" xfId="2" applyFont="1" applyFill="1" applyBorder="1" applyAlignment="1">
      <alignment horizontal="left"/>
    </xf>
    <xf numFmtId="164" fontId="0" fillId="0" borderId="16" xfId="3" applyNumberFormat="1" applyFont="1" applyBorder="1"/>
    <xf numFmtId="164" fontId="0" fillId="0" borderId="14" xfId="3" applyNumberFormat="1" applyFont="1" applyFill="1" applyBorder="1"/>
    <xf numFmtId="166" fontId="15" fillId="15" borderId="16" xfId="2" applyNumberFormat="1" applyFont="1" applyFill="1" applyBorder="1"/>
    <xf numFmtId="164" fontId="0" fillId="0" borderId="14" xfId="3" applyNumberFormat="1" applyFont="1" applyBorder="1"/>
    <xf numFmtId="166" fontId="15" fillId="16" borderId="14" xfId="2" applyNumberFormat="1" applyFont="1" applyFill="1" applyBorder="1"/>
    <xf numFmtId="167" fontId="0" fillId="0" borderId="16" xfId="0" applyNumberFormat="1" applyBorder="1" applyAlignment="1">
      <alignment horizontal="center"/>
    </xf>
    <xf numFmtId="0" fontId="15" fillId="17" borderId="16" xfId="2" applyFont="1" applyFill="1" applyBorder="1"/>
    <xf numFmtId="0" fontId="17" fillId="18" borderId="20" xfId="2" applyFont="1" applyFill="1" applyBorder="1" applyAlignment="1">
      <alignment wrapText="1"/>
    </xf>
    <xf numFmtId="0" fontId="18" fillId="19" borderId="22" xfId="0" applyFont="1" applyFill="1" applyBorder="1" applyAlignment="1">
      <alignment wrapText="1"/>
    </xf>
    <xf numFmtId="0" fontId="13" fillId="19" borderId="23" xfId="0" applyFont="1" applyFill="1" applyBorder="1" applyAlignment="1">
      <alignment vertical="center" wrapText="1"/>
    </xf>
    <xf numFmtId="0" fontId="19" fillId="19" borderId="23" xfId="2" applyFont="1" applyFill="1" applyBorder="1"/>
    <xf numFmtId="0" fontId="20" fillId="19" borderId="23" xfId="2" applyFont="1" applyFill="1" applyBorder="1"/>
    <xf numFmtId="0" fontId="21" fillId="19" borderId="23" xfId="2" applyFont="1" applyFill="1" applyBorder="1"/>
    <xf numFmtId="0" fontId="19" fillId="19" borderId="26" xfId="2" applyFont="1" applyFill="1" applyBorder="1"/>
    <xf numFmtId="0" fontId="0" fillId="0" borderId="15" xfId="0" applyBorder="1" applyAlignment="1">
      <alignment horizontal="center" vertical="center"/>
    </xf>
    <xf numFmtId="0" fontId="22" fillId="0" borderId="15" xfId="0" applyFont="1" applyBorder="1" applyAlignment="1">
      <alignment wrapText="1"/>
    </xf>
    <xf numFmtId="0" fontId="22" fillId="5" borderId="28" xfId="0" applyFont="1" applyFill="1" applyBorder="1" applyAlignment="1">
      <alignment wrapText="1"/>
    </xf>
    <xf numFmtId="0" fontId="18" fillId="0" borderId="22" xfId="0" applyFont="1" applyBorder="1" applyAlignment="1">
      <alignment wrapText="1"/>
    </xf>
    <xf numFmtId="0" fontId="13" fillId="0" borderId="23" xfId="0" applyFont="1" applyBorder="1" applyAlignment="1">
      <alignment vertical="center" wrapText="1"/>
    </xf>
    <xf numFmtId="0" fontId="13" fillId="9" borderId="23" xfId="0" applyFont="1" applyFill="1" applyBorder="1" applyAlignment="1">
      <alignment vertical="center" wrapText="1"/>
    </xf>
    <xf numFmtId="0" fontId="19" fillId="13" borderId="23" xfId="2" applyFont="1" applyFill="1" applyBorder="1"/>
    <xf numFmtId="0" fontId="20" fillId="13" borderId="23" xfId="2" applyFont="1" applyFill="1" applyBorder="1"/>
    <xf numFmtId="0" fontId="21" fillId="13" borderId="23" xfId="2" applyFont="1" applyFill="1" applyBorder="1"/>
    <xf numFmtId="0" fontId="17" fillId="12" borderId="26" xfId="2" applyFont="1" applyFill="1" applyBorder="1" applyAlignment="1">
      <alignment wrapText="1"/>
    </xf>
    <xf numFmtId="0" fontId="22" fillId="5" borderId="20" xfId="0" applyFont="1" applyFill="1" applyBorder="1" applyAlignment="1">
      <alignment wrapText="1"/>
    </xf>
    <xf numFmtId="0" fontId="18" fillId="0" borderId="23" xfId="0" applyFont="1" applyBorder="1" applyAlignment="1">
      <alignment vertical="center" wrapText="1"/>
    </xf>
    <xf numFmtId="0" fontId="23" fillId="0" borderId="23" xfId="0" applyFont="1" applyBorder="1" applyAlignment="1">
      <alignment vertical="center" wrapText="1"/>
    </xf>
    <xf numFmtId="0" fontId="17" fillId="18" borderId="26" xfId="2" applyFont="1" applyFill="1" applyBorder="1" applyAlignment="1">
      <alignment wrapText="1"/>
    </xf>
    <xf numFmtId="0" fontId="15" fillId="13" borderId="29" xfId="2" applyFont="1" applyFill="1" applyBorder="1" applyAlignment="1">
      <alignment horizontal="center" vertical="center" wrapText="1"/>
    </xf>
    <xf numFmtId="0" fontId="15" fillId="20" borderId="30" xfId="2" applyFont="1" applyFill="1" applyBorder="1" applyAlignment="1">
      <alignment horizontal="center" vertical="top" wrapText="1"/>
    </xf>
    <xf numFmtId="0" fontId="15" fillId="3" borderId="31" xfId="2" applyFont="1" applyFill="1" applyBorder="1" applyAlignment="1">
      <alignment horizontal="center" vertical="top" wrapText="1"/>
    </xf>
    <xf numFmtId="0" fontId="15" fillId="19" borderId="30" xfId="2" applyFont="1" applyFill="1" applyBorder="1" applyAlignment="1">
      <alignment horizontal="center" vertical="top" wrapText="1"/>
    </xf>
    <xf numFmtId="0" fontId="15" fillId="21" borderId="30" xfId="2" applyFont="1" applyFill="1" applyBorder="1" applyAlignment="1">
      <alignment horizontal="center" vertical="top" wrapText="1"/>
    </xf>
    <xf numFmtId="0" fontId="15" fillId="13" borderId="32" xfId="2" applyFont="1" applyFill="1" applyBorder="1" applyAlignment="1">
      <alignment horizontal="center" vertical="top" wrapText="1"/>
    </xf>
    <xf numFmtId="0" fontId="4" fillId="0" borderId="33" xfId="0" applyFont="1" applyBorder="1" applyAlignment="1">
      <alignment vertical="center"/>
    </xf>
    <xf numFmtId="0" fontId="15" fillId="13" borderId="34" xfId="2" applyFont="1" applyFill="1" applyBorder="1" applyAlignment="1">
      <alignment horizontal="center" vertical="center"/>
    </xf>
    <xf numFmtId="0" fontId="15" fillId="20" borderId="35" xfId="2" applyFont="1" applyFill="1" applyBorder="1" applyAlignment="1">
      <alignment horizontal="center" vertical="center"/>
    </xf>
    <xf numFmtId="0" fontId="15" fillId="21" borderId="35" xfId="2" applyFont="1" applyFill="1" applyBorder="1" applyAlignment="1">
      <alignment vertical="center"/>
    </xf>
    <xf numFmtId="0" fontId="15" fillId="13" borderId="38" xfId="2" applyFont="1" applyFill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0" fillId="13" borderId="0" xfId="0" applyFill="1"/>
    <xf numFmtId="165" fontId="16" fillId="22" borderId="17" xfId="3" applyFont="1" applyFill="1" applyBorder="1"/>
    <xf numFmtId="165" fontId="15" fillId="22" borderId="40" xfId="3" applyFont="1" applyFill="1" applyBorder="1" applyAlignment="1">
      <alignment wrapText="1"/>
    </xf>
    <xf numFmtId="0" fontId="15" fillId="22" borderId="41" xfId="0" applyFont="1" applyFill="1" applyBorder="1" applyAlignment="1">
      <alignment horizontal="left" wrapText="1"/>
    </xf>
    <xf numFmtId="164" fontId="16" fillId="13" borderId="17" xfId="3" applyNumberFormat="1" applyFont="1" applyFill="1" applyBorder="1"/>
    <xf numFmtId="165" fontId="16" fillId="12" borderId="17" xfId="3" applyFont="1" applyFill="1" applyBorder="1"/>
    <xf numFmtId="0" fontId="15" fillId="14" borderId="17" xfId="0" applyFont="1" applyFill="1" applyBorder="1"/>
    <xf numFmtId="0" fontId="15" fillId="15" borderId="0" xfId="0" applyFont="1" applyFill="1" applyAlignment="1">
      <alignment horizontal="center" vertical="center"/>
    </xf>
    <xf numFmtId="17" fontId="15" fillId="15" borderId="0" xfId="0" applyNumberFormat="1" applyFont="1" applyFill="1" applyAlignment="1">
      <alignment horizontal="center" wrapText="1"/>
    </xf>
    <xf numFmtId="17" fontId="15" fillId="15" borderId="0" xfId="0" applyNumberFormat="1" applyFont="1" applyFill="1" applyAlignment="1">
      <alignment horizontal="center" vertical="center"/>
    </xf>
    <xf numFmtId="0" fontId="16" fillId="23" borderId="0" xfId="0" applyFont="1" applyFill="1"/>
    <xf numFmtId="0" fontId="15" fillId="4" borderId="0" xfId="0" applyFont="1" applyFill="1" applyAlignment="1">
      <alignment horizontal="center"/>
    </xf>
    <xf numFmtId="17" fontId="15" fillId="23" borderId="0" xfId="0" applyNumberFormat="1" applyFont="1" applyFill="1" applyAlignment="1">
      <alignment horizontal="left"/>
    </xf>
    <xf numFmtId="0" fontId="16" fillId="13" borderId="0" xfId="0" applyFont="1" applyFill="1"/>
    <xf numFmtId="166" fontId="16" fillId="13" borderId="0" xfId="3" applyNumberFormat="1" applyFont="1" applyFill="1"/>
    <xf numFmtId="0" fontId="15" fillId="13" borderId="0" xfId="0" applyFont="1" applyFill="1" applyAlignment="1">
      <alignment wrapText="1"/>
    </xf>
    <xf numFmtId="0" fontId="26" fillId="15" borderId="0" xfId="0" applyFont="1" applyFill="1" applyAlignment="1">
      <alignment horizontal="center" vertical="center" wrapText="1"/>
    </xf>
    <xf numFmtId="0" fontId="15" fillId="20" borderId="16" xfId="2" applyFont="1" applyFill="1" applyBorder="1" applyAlignment="1">
      <alignment horizontal="center" vertical="top" wrapText="1"/>
    </xf>
    <xf numFmtId="0" fontId="15" fillId="3" borderId="43" xfId="2" applyFont="1" applyFill="1" applyBorder="1" applyAlignment="1">
      <alignment horizontal="center" vertical="top" wrapText="1"/>
    </xf>
    <xf numFmtId="0" fontId="15" fillId="19" borderId="16" xfId="2" applyFont="1" applyFill="1" applyBorder="1" applyAlignment="1">
      <alignment horizontal="center" vertical="top" wrapText="1"/>
    </xf>
    <xf numFmtId="0" fontId="15" fillId="21" borderId="16" xfId="2" applyFont="1" applyFill="1" applyBorder="1" applyAlignment="1">
      <alignment horizontal="center" vertical="top" wrapText="1"/>
    </xf>
    <xf numFmtId="0" fontId="15" fillId="13" borderId="22" xfId="2" applyFont="1" applyFill="1" applyBorder="1" applyAlignment="1">
      <alignment horizontal="center" vertical="top" wrapText="1"/>
    </xf>
    <xf numFmtId="0" fontId="15" fillId="21" borderId="35" xfId="2" applyFont="1" applyFill="1" applyBorder="1" applyAlignment="1">
      <alignment horizontal="center" vertical="center"/>
    </xf>
    <xf numFmtId="0" fontId="15" fillId="13" borderId="38" xfId="2" applyFont="1" applyFill="1" applyBorder="1" applyAlignment="1">
      <alignment horizontal="center" vertical="center"/>
    </xf>
    <xf numFmtId="0" fontId="27" fillId="13" borderId="0" xfId="0" applyFont="1" applyFill="1"/>
    <xf numFmtId="164" fontId="29" fillId="13" borderId="0" xfId="0" applyNumberFormat="1" applyFont="1" applyFill="1"/>
    <xf numFmtId="9" fontId="16" fillId="15" borderId="0" xfId="1" applyFont="1" applyFill="1"/>
    <xf numFmtId="0" fontId="15" fillId="15" borderId="0" xfId="0" applyFont="1" applyFill="1" applyAlignment="1">
      <alignment horizontal="right"/>
    </xf>
    <xf numFmtId="0" fontId="15" fillId="15" borderId="0" xfId="0" applyFont="1" applyFill="1" applyAlignment="1">
      <alignment horizontal="left"/>
    </xf>
    <xf numFmtId="164" fontId="16" fillId="19" borderId="17" xfId="3" applyNumberFormat="1" applyFont="1" applyFill="1" applyBorder="1"/>
    <xf numFmtId="0" fontId="15" fillId="19" borderId="0" xfId="0" applyFont="1" applyFill="1" applyAlignment="1">
      <alignment horizontal="right"/>
    </xf>
    <xf numFmtId="0" fontId="15" fillId="19" borderId="0" xfId="0" applyFont="1" applyFill="1" applyAlignment="1">
      <alignment horizontal="left"/>
    </xf>
    <xf numFmtId="164" fontId="16" fillId="13" borderId="0" xfId="0" applyNumberFormat="1" applyFont="1" applyFill="1"/>
    <xf numFmtId="165" fontId="16" fillId="19" borderId="17" xfId="3" applyFont="1" applyFill="1" applyBorder="1"/>
    <xf numFmtId="9" fontId="16" fillId="19" borderId="17" xfId="3" applyNumberFormat="1" applyFont="1" applyFill="1" applyBorder="1"/>
    <xf numFmtId="9" fontId="16" fillId="19" borderId="17" xfId="1" applyFont="1" applyFill="1" applyBorder="1"/>
    <xf numFmtId="165" fontId="16" fillId="19" borderId="14" xfId="3" applyFont="1" applyFill="1" applyBorder="1"/>
    <xf numFmtId="164" fontId="16" fillId="19" borderId="19" xfId="3" applyNumberFormat="1" applyFont="1" applyFill="1" applyBorder="1"/>
    <xf numFmtId="0" fontId="15" fillId="19" borderId="2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17" fontId="15" fillId="17" borderId="5" xfId="0" applyNumberFormat="1" applyFont="1" applyFill="1" applyBorder="1" applyAlignment="1">
      <alignment horizontal="left"/>
    </xf>
    <xf numFmtId="164" fontId="16" fillId="13" borderId="23" xfId="3" applyNumberFormat="1" applyFont="1" applyFill="1" applyBorder="1"/>
    <xf numFmtId="164" fontId="16" fillId="0" borderId="17" xfId="3" applyNumberFormat="1" applyFont="1" applyFill="1" applyBorder="1"/>
    <xf numFmtId="0" fontId="15" fillId="0" borderId="0" xfId="0" applyFont="1" applyAlignment="1">
      <alignment horizontal="left"/>
    </xf>
    <xf numFmtId="164" fontId="16" fillId="13" borderId="38" xfId="3" applyNumberFormat="1" applyFont="1" applyFill="1" applyBorder="1"/>
    <xf numFmtId="0" fontId="15" fillId="0" borderId="12" xfId="0" applyFont="1" applyBorder="1" applyAlignment="1">
      <alignment horizontal="center"/>
    </xf>
    <xf numFmtId="0" fontId="15" fillId="12" borderId="46" xfId="2" applyFont="1" applyFill="1" applyBorder="1" applyAlignment="1">
      <alignment horizontal="center" vertical="top" wrapText="1"/>
    </xf>
    <xf numFmtId="0" fontId="15" fillId="12" borderId="27" xfId="2" applyFont="1" applyFill="1" applyBorder="1" applyAlignment="1">
      <alignment horizontal="center" vertical="top" wrapText="1"/>
    </xf>
    <xf numFmtId="0" fontId="15" fillId="21" borderId="27" xfId="2" applyFont="1" applyFill="1" applyBorder="1" applyAlignment="1">
      <alignment horizontal="center" vertical="top" wrapText="1"/>
    </xf>
    <xf numFmtId="0" fontId="15" fillId="12" borderId="28" xfId="2" applyFont="1" applyFill="1" applyBorder="1" applyAlignment="1">
      <alignment horizontal="center" vertical="top" wrapText="1"/>
    </xf>
    <xf numFmtId="0" fontId="26" fillId="13" borderId="0" xfId="0" applyFont="1" applyFill="1" applyAlignment="1">
      <alignment horizontal="left" vertical="center"/>
    </xf>
    <xf numFmtId="0" fontId="15" fillId="12" borderId="47" xfId="2" applyFont="1" applyFill="1" applyBorder="1" applyAlignment="1">
      <alignment horizontal="center" vertical="top" wrapText="1"/>
    </xf>
    <xf numFmtId="0" fontId="15" fillId="12" borderId="19" xfId="2" applyFont="1" applyFill="1" applyBorder="1" applyAlignment="1">
      <alignment horizontal="center" vertical="top" wrapText="1"/>
    </xf>
    <xf numFmtId="0" fontId="15" fillId="21" borderId="19" xfId="2" applyFont="1" applyFill="1" applyBorder="1" applyAlignment="1">
      <alignment horizontal="center" vertical="top" wrapText="1"/>
    </xf>
    <xf numFmtId="0" fontId="15" fillId="12" borderId="20" xfId="2" applyFont="1" applyFill="1" applyBorder="1" applyAlignment="1">
      <alignment horizontal="center" vertical="top" wrapText="1"/>
    </xf>
    <xf numFmtId="0" fontId="30" fillId="13" borderId="0" xfId="0" applyFont="1" applyFill="1" applyAlignment="1">
      <alignment horizontal="center" vertical="center"/>
    </xf>
    <xf numFmtId="9" fontId="16" fillId="13" borderId="17" xfId="1" applyFont="1" applyFill="1" applyBorder="1"/>
    <xf numFmtId="0" fontId="15" fillId="13" borderId="17" xfId="0" applyFont="1" applyFill="1" applyBorder="1" applyAlignment="1">
      <alignment horizontal="right"/>
    </xf>
    <xf numFmtId="0" fontId="15" fillId="13" borderId="17" xfId="0" applyFont="1" applyFill="1" applyBorder="1" applyAlignment="1">
      <alignment horizontal="left"/>
    </xf>
    <xf numFmtId="165" fontId="16" fillId="5" borderId="20" xfId="3" applyFont="1" applyFill="1" applyBorder="1"/>
    <xf numFmtId="165" fontId="16" fillId="5" borderId="47" xfId="3" applyFont="1" applyFill="1" applyBorder="1"/>
    <xf numFmtId="165" fontId="16" fillId="5" borderId="19" xfId="3" applyFont="1" applyFill="1" applyBorder="1"/>
    <xf numFmtId="0" fontId="15" fillId="5" borderId="4" xfId="0" applyFont="1" applyFill="1" applyBorder="1" applyAlignment="1">
      <alignment horizontal="right"/>
    </xf>
    <xf numFmtId="0" fontId="15" fillId="5" borderId="1" xfId="0" applyFont="1" applyFill="1" applyBorder="1" applyAlignment="1">
      <alignment horizontal="left"/>
    </xf>
    <xf numFmtId="165" fontId="16" fillId="0" borderId="30" xfId="3" applyFont="1" applyFill="1" applyBorder="1"/>
    <xf numFmtId="165" fontId="16" fillId="0" borderId="30" xfId="3" applyFont="1" applyBorder="1"/>
    <xf numFmtId="165" fontId="16" fillId="13" borderId="30" xfId="3" applyFont="1" applyFill="1" applyBorder="1"/>
    <xf numFmtId="165" fontId="16" fillId="13" borderId="32" xfId="3" applyFont="1" applyFill="1" applyBorder="1"/>
    <xf numFmtId="165" fontId="16" fillId="0" borderId="17" xfId="3" applyFont="1" applyBorder="1"/>
    <xf numFmtId="165" fontId="16" fillId="13" borderId="17" xfId="3" applyFont="1" applyFill="1" applyBorder="1"/>
    <xf numFmtId="165" fontId="16" fillId="13" borderId="23" xfId="3" applyFont="1" applyFill="1" applyBorder="1"/>
    <xf numFmtId="165" fontId="16" fillId="0" borderId="35" xfId="3" applyFont="1" applyBorder="1"/>
    <xf numFmtId="165" fontId="16" fillId="13" borderId="35" xfId="3" applyFont="1" applyFill="1" applyBorder="1"/>
    <xf numFmtId="0" fontId="15" fillId="0" borderId="21" xfId="2" applyFont="1" applyBorder="1" applyAlignment="1">
      <alignment horizontal="center" vertical="center" wrapText="1"/>
    </xf>
    <xf numFmtId="0" fontId="15" fillId="0" borderId="34" xfId="2" applyFont="1" applyBorder="1" applyAlignment="1">
      <alignment horizontal="center" vertical="center"/>
    </xf>
    <xf numFmtId="164" fontId="0" fillId="13" borderId="0" xfId="0" applyNumberFormat="1" applyFill="1"/>
    <xf numFmtId="164" fontId="16" fillId="24" borderId="19" xfId="0" applyNumberFormat="1" applyFont="1" applyFill="1" applyBorder="1"/>
    <xf numFmtId="0" fontId="15" fillId="24" borderId="2" xfId="0" applyFont="1" applyFill="1" applyBorder="1" applyAlignment="1">
      <alignment horizontal="right"/>
    </xf>
    <xf numFmtId="0" fontId="15" fillId="24" borderId="1" xfId="0" applyFont="1" applyFill="1" applyBorder="1" applyAlignment="1">
      <alignment horizontal="left"/>
    </xf>
    <xf numFmtId="164" fontId="16" fillId="13" borderId="14" xfId="3" applyNumberFormat="1" applyFont="1" applyFill="1" applyBorder="1" applyAlignment="1">
      <alignment horizontal="center"/>
    </xf>
    <xf numFmtId="164" fontId="16" fillId="24" borderId="19" xfId="3" applyNumberFormat="1" applyFont="1" applyFill="1" applyBorder="1" applyAlignment="1">
      <alignment horizontal="center"/>
    </xf>
    <xf numFmtId="0" fontId="15" fillId="24" borderId="2" xfId="0" applyFont="1" applyFill="1" applyBorder="1" applyAlignment="1">
      <alignment horizontal="center"/>
    </xf>
    <xf numFmtId="17" fontId="15" fillId="24" borderId="1" xfId="0" applyNumberFormat="1" applyFont="1" applyFill="1" applyBorder="1" applyAlignment="1">
      <alignment horizontal="left"/>
    </xf>
    <xf numFmtId="0" fontId="15" fillId="13" borderId="21" xfId="2" applyFont="1" applyFill="1" applyBorder="1" applyAlignment="1">
      <alignment horizontal="center" vertical="center" wrapText="1"/>
    </xf>
    <xf numFmtId="43" fontId="16" fillId="19" borderId="17" xfId="3" applyNumberFormat="1" applyFont="1" applyFill="1" applyBorder="1"/>
    <xf numFmtId="0" fontId="17" fillId="22" borderId="41" xfId="0" applyFont="1" applyFill="1" applyBorder="1" applyAlignment="1">
      <alignment horizontal="center" vertical="center"/>
    </xf>
    <xf numFmtId="43" fontId="16" fillId="20" borderId="17" xfId="3" applyNumberFormat="1" applyFont="1" applyFill="1" applyBorder="1"/>
    <xf numFmtId="164" fontId="16" fillId="13" borderId="17" xfId="3" applyNumberFormat="1" applyFont="1" applyFill="1" applyBorder="1" applyAlignment="1"/>
    <xf numFmtId="165" fontId="16" fillId="4" borderId="17" xfId="3" applyFont="1" applyFill="1" applyBorder="1"/>
    <xf numFmtId="0" fontId="16" fillId="25" borderId="17" xfId="0" applyFont="1" applyFill="1" applyBorder="1"/>
    <xf numFmtId="0" fontId="15" fillId="13" borderId="0" xfId="0" applyFont="1" applyFill="1" applyAlignment="1">
      <alignment horizontal="center" vertical="center"/>
    </xf>
    <xf numFmtId="0" fontId="15" fillId="13" borderId="42" xfId="0" applyFont="1" applyFill="1" applyBorder="1" applyAlignment="1">
      <alignment vertical="center"/>
    </xf>
    <xf numFmtId="0" fontId="15" fillId="15" borderId="42" xfId="0" applyFont="1" applyFill="1" applyBorder="1" applyAlignment="1">
      <alignment vertical="center"/>
    </xf>
    <xf numFmtId="9" fontId="16" fillId="0" borderId="0" xfId="1" applyFont="1" applyFill="1"/>
    <xf numFmtId="0" fontId="15" fillId="0" borderId="0" xfId="0" applyFont="1" applyAlignment="1">
      <alignment horizontal="right"/>
    </xf>
    <xf numFmtId="164" fontId="16" fillId="0" borderId="18" xfId="3" applyNumberFormat="1" applyFont="1" applyFill="1" applyBorder="1"/>
    <xf numFmtId="164" fontId="16" fillId="0" borderId="19" xfId="3" applyNumberFormat="1" applyFont="1" applyFill="1" applyBorder="1"/>
    <xf numFmtId="0" fontId="15" fillId="0" borderId="4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164" fontId="16" fillId="0" borderId="29" xfId="3" applyNumberFormat="1" applyFont="1" applyFill="1" applyBorder="1"/>
    <xf numFmtId="164" fontId="16" fillId="0" borderId="30" xfId="3" applyNumberFormat="1" applyFont="1" applyFill="1" applyBorder="1"/>
    <xf numFmtId="164" fontId="16" fillId="0" borderId="32" xfId="3" applyNumberFormat="1" applyFont="1" applyFill="1" applyBorder="1"/>
    <xf numFmtId="17" fontId="15" fillId="0" borderId="5" xfId="0" applyNumberFormat="1" applyFont="1" applyBorder="1" applyAlignment="1">
      <alignment horizontal="left"/>
    </xf>
    <xf numFmtId="164" fontId="16" fillId="0" borderId="24" xfId="3" applyNumberFormat="1" applyFont="1" applyFill="1" applyBorder="1"/>
    <xf numFmtId="164" fontId="16" fillId="0" borderId="23" xfId="3" applyNumberFormat="1" applyFont="1" applyFill="1" applyBorder="1"/>
    <xf numFmtId="164" fontId="16" fillId="0" borderId="44" xfId="3" applyNumberFormat="1" applyFont="1" applyFill="1" applyBorder="1"/>
    <xf numFmtId="164" fontId="16" fillId="0" borderId="48" xfId="3" applyNumberFormat="1" applyFont="1" applyFill="1" applyBorder="1"/>
    <xf numFmtId="164" fontId="16" fillId="0" borderId="34" xfId="3" applyNumberFormat="1" applyFont="1" applyFill="1" applyBorder="1"/>
    <xf numFmtId="164" fontId="16" fillId="0" borderId="35" xfId="3" applyNumberFormat="1" applyFont="1" applyFill="1" applyBorder="1"/>
    <xf numFmtId="164" fontId="16" fillId="0" borderId="27" xfId="3" applyNumberFormat="1" applyFont="1" applyFill="1" applyBorder="1"/>
    <xf numFmtId="164" fontId="16" fillId="0" borderId="28" xfId="3" applyNumberFormat="1" applyFont="1" applyFill="1" applyBorder="1"/>
    <xf numFmtId="0" fontId="15" fillId="0" borderId="18" xfId="2" applyFont="1" applyBorder="1" applyAlignment="1">
      <alignment horizontal="center" vertical="center" wrapText="1"/>
    </xf>
    <xf numFmtId="0" fontId="15" fillId="0" borderId="47" xfId="2" applyFont="1" applyBorder="1" applyAlignment="1">
      <alignment horizontal="center" vertical="top" wrapText="1"/>
    </xf>
    <xf numFmtId="0" fontId="15" fillId="0" borderId="19" xfId="2" applyFont="1" applyBorder="1" applyAlignment="1">
      <alignment horizontal="center" vertical="top" wrapText="1"/>
    </xf>
    <xf numFmtId="0" fontId="15" fillId="0" borderId="20" xfId="2" applyFont="1" applyBorder="1" applyAlignment="1">
      <alignment horizontal="center" vertical="top" wrapText="1"/>
    </xf>
    <xf numFmtId="0" fontId="16" fillId="0" borderId="0" xfId="0" applyFont="1"/>
    <xf numFmtId="0" fontId="30" fillId="0" borderId="0" xfId="0" applyFont="1" applyAlignment="1">
      <alignment horizontal="center" vertical="center"/>
    </xf>
    <xf numFmtId="164" fontId="16" fillId="0" borderId="0" xfId="3" applyNumberFormat="1" applyFont="1" applyFill="1" applyBorder="1"/>
    <xf numFmtId="164" fontId="16" fillId="5" borderId="19" xfId="3" applyNumberFormat="1" applyFont="1" applyFill="1" applyBorder="1"/>
    <xf numFmtId="164" fontId="16" fillId="5" borderId="20" xfId="3" applyNumberFormat="1" applyFont="1" applyFill="1" applyBorder="1"/>
    <xf numFmtId="164" fontId="16" fillId="13" borderId="32" xfId="3" applyNumberFormat="1" applyFont="1" applyFill="1" applyBorder="1"/>
    <xf numFmtId="164" fontId="16" fillId="0" borderId="25" xfId="3" applyNumberFormat="1" applyFont="1" applyFill="1" applyBorder="1"/>
    <xf numFmtId="0" fontId="31" fillId="0" borderId="0" xfId="0" applyFont="1" applyAlignment="1">
      <alignment vertical="center"/>
    </xf>
    <xf numFmtId="0" fontId="15" fillId="13" borderId="49" xfId="2" applyFont="1" applyFill="1" applyBorder="1" applyAlignment="1">
      <alignment vertical="center"/>
    </xf>
    <xf numFmtId="0" fontId="28" fillId="13" borderId="0" xfId="0" applyFont="1" applyFill="1" applyAlignment="1">
      <alignment vertical="center"/>
    </xf>
    <xf numFmtId="0" fontId="33" fillId="0" borderId="0" xfId="0" applyFont="1"/>
    <xf numFmtId="0" fontId="33" fillId="13" borderId="0" xfId="0" applyFont="1" applyFill="1"/>
    <xf numFmtId="164" fontId="33" fillId="13" borderId="0" xfId="3" applyNumberFormat="1" applyFont="1" applyFill="1"/>
    <xf numFmtId="164" fontId="33" fillId="13" borderId="50" xfId="3" applyNumberFormat="1" applyFont="1" applyFill="1" applyBorder="1"/>
    <xf numFmtId="164" fontId="33" fillId="13" borderId="42" xfId="3" applyNumberFormat="1" applyFont="1" applyFill="1" applyBorder="1"/>
    <xf numFmtId="0" fontId="33" fillId="13" borderId="42" xfId="0" applyFont="1" applyFill="1" applyBorder="1"/>
    <xf numFmtId="165" fontId="33" fillId="13" borderId="0" xfId="3" applyFont="1" applyFill="1"/>
    <xf numFmtId="164" fontId="33" fillId="13" borderId="54" xfId="3" applyNumberFormat="1" applyFont="1" applyFill="1" applyBorder="1"/>
    <xf numFmtId="0" fontId="33" fillId="13" borderId="54" xfId="0" applyFont="1" applyFill="1" applyBorder="1"/>
    <xf numFmtId="164" fontId="33" fillId="13" borderId="0" xfId="3" applyNumberFormat="1" applyFont="1" applyFill="1" applyBorder="1"/>
    <xf numFmtId="0" fontId="34" fillId="13" borderId="0" xfId="2" applyFont="1" applyFill="1" applyAlignment="1">
      <alignment horizontal="center" textRotation="45"/>
    </xf>
    <xf numFmtId="164" fontId="33" fillId="13" borderId="56" xfId="3" applyNumberFormat="1" applyFont="1" applyFill="1" applyBorder="1"/>
    <xf numFmtId="0" fontId="34" fillId="13" borderId="0" xfId="0" applyFont="1" applyFill="1"/>
    <xf numFmtId="0" fontId="34" fillId="13" borderId="0" xfId="0" applyFont="1" applyFill="1" applyAlignment="1">
      <alignment horizontal="center" vertical="center" textRotation="90"/>
    </xf>
    <xf numFmtId="164" fontId="34" fillId="13" borderId="57" xfId="3" applyNumberFormat="1" applyFont="1" applyFill="1" applyBorder="1"/>
    <xf numFmtId="164" fontId="33" fillId="26" borderId="54" xfId="3" applyNumberFormat="1" applyFont="1" applyFill="1" applyBorder="1"/>
    <xf numFmtId="0" fontId="34" fillId="26" borderId="0" xfId="0" applyFont="1" applyFill="1"/>
    <xf numFmtId="164" fontId="34" fillId="13" borderId="0" xfId="3" applyNumberFormat="1" applyFont="1" applyFill="1" applyBorder="1"/>
    <xf numFmtId="164" fontId="33" fillId="26" borderId="0" xfId="3" applyNumberFormat="1" applyFont="1" applyFill="1"/>
    <xf numFmtId="164" fontId="34" fillId="17" borderId="0" xfId="3" applyNumberFormat="1" applyFont="1" applyFill="1"/>
    <xf numFmtId="164" fontId="34" fillId="17" borderId="0" xfId="0" applyNumberFormat="1" applyFont="1" applyFill="1"/>
    <xf numFmtId="164" fontId="33" fillId="13" borderId="0" xfId="0" applyNumberFormat="1" applyFont="1" applyFill="1"/>
    <xf numFmtId="17" fontId="34" fillId="13" borderId="0" xfId="0" applyNumberFormat="1" applyFont="1" applyFill="1"/>
    <xf numFmtId="0" fontId="32" fillId="13" borderId="0" xfId="0" applyFont="1" applyFill="1"/>
    <xf numFmtId="164" fontId="16" fillId="0" borderId="37" xfId="3" applyNumberFormat="1" applyFont="1" applyFill="1" applyBorder="1"/>
    <xf numFmtId="164" fontId="16" fillId="0" borderId="41" xfId="3" applyNumberFormat="1" applyFont="1" applyFill="1" applyBorder="1"/>
    <xf numFmtId="164" fontId="16" fillId="0" borderId="58" xfId="3" applyNumberFormat="1" applyFont="1" applyFill="1" applyBorder="1"/>
    <xf numFmtId="164" fontId="16" fillId="0" borderId="47" xfId="3" applyNumberFormat="1" applyFont="1" applyFill="1" applyBorder="1"/>
    <xf numFmtId="0" fontId="7" fillId="0" borderId="0" xfId="0" applyFont="1" applyAlignment="1">
      <alignment vertical="center"/>
    </xf>
    <xf numFmtId="0" fontId="4" fillId="27" borderId="1" xfId="0" applyFont="1" applyFill="1" applyBorder="1"/>
    <xf numFmtId="0" fontId="4" fillId="27" borderId="4" xfId="0" applyFont="1" applyFill="1" applyBorder="1"/>
    <xf numFmtId="43" fontId="4" fillId="27" borderId="10" xfId="0" applyNumberFormat="1" applyFont="1" applyFill="1" applyBorder="1"/>
    <xf numFmtId="43" fontId="4" fillId="27" borderId="19" xfId="0" applyNumberFormat="1" applyFont="1" applyFill="1" applyBorder="1"/>
    <xf numFmtId="43" fontId="4" fillId="27" borderId="18" xfId="0" applyNumberFormat="1" applyFont="1" applyFill="1" applyBorder="1"/>
    <xf numFmtId="165" fontId="35" fillId="27" borderId="57" xfId="0" applyNumberFormat="1" applyFont="1" applyFill="1" applyBorder="1"/>
    <xf numFmtId="41" fontId="0" fillId="0" borderId="24" xfId="0" applyNumberFormat="1" applyBorder="1"/>
    <xf numFmtId="41" fontId="0" fillId="0" borderId="21" xfId="0" applyNumberFormat="1" applyBorder="1"/>
    <xf numFmtId="41" fontId="0" fillId="0" borderId="60" xfId="0" applyNumberFormat="1" applyBorder="1"/>
    <xf numFmtId="41" fontId="0" fillId="0" borderId="62" xfId="0" applyNumberFormat="1" applyBorder="1"/>
    <xf numFmtId="41" fontId="0" fillId="0" borderId="0" xfId="0" applyNumberFormat="1"/>
    <xf numFmtId="41" fontId="0" fillId="0" borderId="4" xfId="0" applyNumberFormat="1" applyBorder="1"/>
    <xf numFmtId="41" fontId="0" fillId="0" borderId="26" xfId="0" applyNumberFormat="1" applyBorder="1"/>
    <xf numFmtId="41" fontId="0" fillId="0" borderId="25" xfId="0" applyNumberFormat="1" applyBorder="1"/>
    <xf numFmtId="41" fontId="0" fillId="0" borderId="59" xfId="0" applyNumberFormat="1" applyBorder="1"/>
    <xf numFmtId="41" fontId="0" fillId="0" borderId="0" xfId="1" applyNumberFormat="1" applyFont="1"/>
    <xf numFmtId="41" fontId="0" fillId="0" borderId="23" xfId="0" applyNumberFormat="1" applyBorder="1"/>
    <xf numFmtId="41" fontId="0" fillId="0" borderId="22" xfId="0" applyNumberFormat="1" applyBorder="1"/>
    <xf numFmtId="41" fontId="0" fillId="0" borderId="20" xfId="0" applyNumberFormat="1" applyBorder="1"/>
    <xf numFmtId="41" fontId="0" fillId="0" borderId="18" xfId="0" applyNumberFormat="1" applyBorder="1"/>
    <xf numFmtId="41" fontId="0" fillId="14" borderId="1" xfId="0" applyNumberFormat="1" applyFill="1" applyBorder="1"/>
    <xf numFmtId="41" fontId="0" fillId="14" borderId="48" xfId="0" applyNumberFormat="1" applyFill="1" applyBorder="1"/>
    <xf numFmtId="41" fontId="0" fillId="14" borderId="44" xfId="0" applyNumberFormat="1" applyFill="1" applyBorder="1"/>
    <xf numFmtId="41" fontId="0" fillId="14" borderId="61" xfId="0" applyNumberFormat="1" applyFill="1" applyBorder="1"/>
    <xf numFmtId="41" fontId="0" fillId="14" borderId="4" xfId="0" applyNumberFormat="1" applyFill="1" applyBorder="1"/>
    <xf numFmtId="41" fontId="22" fillId="13" borderId="0" xfId="0" applyNumberFormat="1" applyFont="1" applyFill="1" applyAlignment="1">
      <alignment horizontal="left" vertical="center"/>
    </xf>
    <xf numFmtId="41" fontId="0" fillId="13" borderId="0" xfId="0" applyNumberFormat="1" applyFill="1"/>
    <xf numFmtId="41" fontId="0" fillId="13" borderId="0" xfId="0" applyNumberFormat="1" applyFill="1" applyAlignment="1">
      <alignment horizontal="right"/>
    </xf>
    <xf numFmtId="3" fontId="0" fillId="0" borderId="11" xfId="0" applyNumberFormat="1" applyBorder="1"/>
    <xf numFmtId="3" fontId="0" fillId="0" borderId="12" xfId="0" applyNumberFormat="1" applyBorder="1"/>
    <xf numFmtId="3" fontId="8" fillId="0" borderId="12" xfId="0" applyNumberFormat="1" applyFont="1" applyBorder="1"/>
    <xf numFmtId="9" fontId="0" fillId="0" borderId="13" xfId="1" applyFont="1" applyBorder="1"/>
    <xf numFmtId="3" fontId="8" fillId="0" borderId="0" xfId="0" applyNumberFormat="1" applyFont="1"/>
    <xf numFmtId="0" fontId="38" fillId="0" borderId="11" xfId="0" quotePrefix="1" applyFont="1" applyBorder="1"/>
    <xf numFmtId="0" fontId="38" fillId="0" borderId="13" xfId="0" quotePrefix="1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8" fillId="0" borderId="7" xfId="0" quotePrefix="1" applyFont="1" applyBorder="1"/>
    <xf numFmtId="0" fontId="38" fillId="0" borderId="9" xfId="0" quotePrefix="1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8" fillId="0" borderId="0" xfId="0" quotePrefix="1" applyFont="1"/>
    <xf numFmtId="0" fontId="4" fillId="0" borderId="0" xfId="0" applyFont="1" applyAlignment="1">
      <alignment horizontal="center"/>
    </xf>
    <xf numFmtId="0" fontId="4" fillId="12" borderId="55" xfId="0" quotePrefix="1" applyFont="1" applyFill="1" applyBorder="1"/>
    <xf numFmtId="1" fontId="0" fillId="12" borderId="54" xfId="0" applyNumberFormat="1" applyFill="1" applyBorder="1" applyAlignment="1">
      <alignment horizontal="center"/>
    </xf>
    <xf numFmtId="1" fontId="4" fillId="12" borderId="16" xfId="0" applyNumberFormat="1" applyFont="1" applyFill="1" applyBorder="1" applyAlignment="1">
      <alignment horizontal="center"/>
    </xf>
    <xf numFmtId="0" fontId="0" fillId="12" borderId="53" xfId="0" applyFill="1" applyBorder="1"/>
    <xf numFmtId="0" fontId="4" fillId="0" borderId="52" xfId="0" quotePrefix="1" applyFont="1" applyBorder="1"/>
    <xf numFmtId="165" fontId="0" fillId="0" borderId="0" xfId="3" applyFont="1" applyBorder="1" applyAlignment="1">
      <alignment horizontal="center"/>
    </xf>
    <xf numFmtId="165" fontId="4" fillId="0" borderId="43" xfId="3" applyFont="1" applyFill="1" applyBorder="1" applyAlignment="1">
      <alignment horizontal="center"/>
    </xf>
    <xf numFmtId="9" fontId="0" fillId="0" borderId="56" xfId="1" applyFont="1" applyFill="1" applyBorder="1" applyAlignment="1">
      <alignment horizontal="center"/>
    </xf>
    <xf numFmtId="165" fontId="0" fillId="0" borderId="0" xfId="0" applyNumberFormat="1"/>
    <xf numFmtId="0" fontId="4" fillId="0" borderId="41" xfId="0" quotePrefix="1" applyFont="1" applyBorder="1"/>
    <xf numFmtId="165" fontId="4" fillId="0" borderId="15" xfId="0" applyNumberFormat="1" applyFont="1" applyBorder="1" applyAlignment="1">
      <alignment horizontal="center"/>
    </xf>
    <xf numFmtId="43" fontId="4" fillId="0" borderId="17" xfId="0" applyNumberFormat="1" applyFont="1" applyBorder="1" applyAlignment="1">
      <alignment horizontal="center"/>
    </xf>
    <xf numFmtId="9" fontId="4" fillId="0" borderId="17" xfId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43" fontId="0" fillId="0" borderId="0" xfId="0" applyNumberFormat="1"/>
    <xf numFmtId="165" fontId="4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center"/>
    </xf>
    <xf numFmtId="9" fontId="4" fillId="0" borderId="0" xfId="1" applyFont="1" applyFill="1" applyBorder="1" applyAlignment="1">
      <alignment horizontal="center"/>
    </xf>
    <xf numFmtId="0" fontId="4" fillId="0" borderId="12" xfId="0" quotePrefix="1" applyFont="1" applyBorder="1"/>
    <xf numFmtId="165" fontId="4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8" fillId="0" borderId="8" xfId="0" quotePrefix="1" applyFont="1" applyBorder="1"/>
    <xf numFmtId="0" fontId="4" fillId="0" borderId="9" xfId="0" applyFont="1" applyBorder="1" applyAlignment="1">
      <alignment horizontal="center"/>
    </xf>
    <xf numFmtId="0" fontId="4" fillId="28" borderId="51" xfId="0" quotePrefix="1" applyFont="1" applyFill="1" applyBorder="1"/>
    <xf numFmtId="0" fontId="4" fillId="28" borderId="42" xfId="0" quotePrefix="1" applyFont="1" applyFill="1" applyBorder="1"/>
    <xf numFmtId="165" fontId="4" fillId="28" borderId="42" xfId="3" applyFont="1" applyFill="1" applyBorder="1"/>
    <xf numFmtId="9" fontId="0" fillId="28" borderId="50" xfId="0" applyNumberFormat="1" applyFill="1" applyBorder="1"/>
    <xf numFmtId="0" fontId="0" fillId="3" borderId="55" xfId="0" quotePrefix="1" applyFill="1" applyBorder="1"/>
    <xf numFmtId="0" fontId="0" fillId="3" borderId="54" xfId="0" applyFill="1" applyBorder="1"/>
    <xf numFmtId="165" fontId="0" fillId="29" borderId="54" xfId="3" applyFont="1" applyFill="1" applyBorder="1"/>
    <xf numFmtId="165" fontId="0" fillId="0" borderId="16" xfId="3" applyFont="1" applyBorder="1"/>
    <xf numFmtId="9" fontId="0" fillId="0" borderId="53" xfId="1" applyFont="1" applyBorder="1"/>
    <xf numFmtId="0" fontId="0" fillId="3" borderId="52" xfId="0" quotePrefix="1" applyFill="1" applyBorder="1"/>
    <xf numFmtId="0" fontId="0" fillId="3" borderId="0" xfId="0" applyFill="1"/>
    <xf numFmtId="165" fontId="0" fillId="0" borderId="0" xfId="3" applyFont="1" applyBorder="1"/>
    <xf numFmtId="165" fontId="0" fillId="0" borderId="43" xfId="3" applyFont="1" applyBorder="1"/>
    <xf numFmtId="9" fontId="0" fillId="0" borderId="56" xfId="1" applyFont="1" applyBorder="1"/>
    <xf numFmtId="165" fontId="0" fillId="29" borderId="0" xfId="3" applyFont="1" applyFill="1" applyBorder="1"/>
    <xf numFmtId="0" fontId="0" fillId="3" borderId="51" xfId="0" quotePrefix="1" applyFill="1" applyBorder="1"/>
    <xf numFmtId="0" fontId="0" fillId="3" borderId="42" xfId="0" applyFill="1" applyBorder="1"/>
    <xf numFmtId="165" fontId="0" fillId="29" borderId="42" xfId="3" applyFont="1" applyFill="1" applyBorder="1"/>
    <xf numFmtId="165" fontId="0" fillId="0" borderId="14" xfId="3" applyFont="1" applyBorder="1"/>
    <xf numFmtId="9" fontId="0" fillId="0" borderId="50" xfId="1" applyFont="1" applyBorder="1"/>
    <xf numFmtId="165" fontId="0" fillId="0" borderId="0" xfId="3" applyFont="1" applyFill="1" applyBorder="1"/>
    <xf numFmtId="165" fontId="0" fillId="0" borderId="43" xfId="3" applyFont="1" applyFill="1" applyBorder="1"/>
    <xf numFmtId="165" fontId="0" fillId="6" borderId="17" xfId="3" applyFont="1" applyFill="1" applyBorder="1"/>
    <xf numFmtId="9" fontId="0" fillId="6" borderId="17" xfId="0" applyNumberFormat="1" applyFill="1" applyBorder="1"/>
    <xf numFmtId="0" fontId="4" fillId="21" borderId="41" xfId="0" applyFont="1" applyFill="1" applyBorder="1"/>
    <xf numFmtId="0" fontId="4" fillId="21" borderId="15" xfId="0" applyFont="1" applyFill="1" applyBorder="1"/>
    <xf numFmtId="165" fontId="4" fillId="21" borderId="15" xfId="3" applyFont="1" applyFill="1" applyBorder="1"/>
    <xf numFmtId="165" fontId="4" fillId="21" borderId="17" xfId="3" applyFont="1" applyFill="1" applyBorder="1"/>
    <xf numFmtId="9" fontId="4" fillId="21" borderId="40" xfId="1" applyFont="1" applyFill="1" applyBorder="1"/>
    <xf numFmtId="0" fontId="0" fillId="19" borderId="52" xfId="0" applyFill="1" applyBorder="1"/>
    <xf numFmtId="0" fontId="0" fillId="19" borderId="0" xfId="0" quotePrefix="1" applyFill="1"/>
    <xf numFmtId="165" fontId="9" fillId="29" borderId="0" xfId="3" applyFont="1" applyFill="1"/>
    <xf numFmtId="9" fontId="4" fillId="0" borderId="56" xfId="1" applyFont="1" applyFill="1" applyBorder="1"/>
    <xf numFmtId="0" fontId="0" fillId="19" borderId="51" xfId="0" applyFill="1" applyBorder="1"/>
    <xf numFmtId="0" fontId="0" fillId="19" borderId="42" xfId="0" quotePrefix="1" applyFill="1" applyBorder="1"/>
    <xf numFmtId="165" fontId="9" fillId="29" borderId="42" xfId="3" applyFont="1" applyFill="1" applyBorder="1"/>
    <xf numFmtId="165" fontId="0" fillId="0" borderId="14" xfId="3" applyFont="1" applyFill="1" applyBorder="1"/>
    <xf numFmtId="0" fontId="4" fillId="21" borderId="41" xfId="0" quotePrefix="1" applyFont="1" applyFill="1" applyBorder="1"/>
    <xf numFmtId="0" fontId="4" fillId="21" borderId="15" xfId="0" quotePrefix="1" applyFont="1" applyFill="1" applyBorder="1" applyAlignment="1">
      <alignment horizontal="left"/>
    </xf>
    <xf numFmtId="9" fontId="4" fillId="21" borderId="40" xfId="0" applyNumberFormat="1" applyFont="1" applyFill="1" applyBorder="1"/>
    <xf numFmtId="0" fontId="4" fillId="19" borderId="41" xfId="0" quotePrefix="1" applyFont="1" applyFill="1" applyBorder="1"/>
    <xf numFmtId="0" fontId="4" fillId="19" borderId="15" xfId="0" quotePrefix="1" applyFont="1" applyFill="1" applyBorder="1"/>
    <xf numFmtId="165" fontId="4" fillId="0" borderId="15" xfId="3" applyFont="1" applyBorder="1"/>
    <xf numFmtId="165" fontId="4" fillId="0" borderId="17" xfId="3" applyFont="1" applyFill="1" applyBorder="1"/>
    <xf numFmtId="9" fontId="4" fillId="0" borderId="40" xfId="1" applyFont="1" applyFill="1" applyBorder="1"/>
    <xf numFmtId="0" fontId="0" fillId="19" borderId="52" xfId="0" quotePrefix="1" applyFill="1" applyBorder="1"/>
    <xf numFmtId="165" fontId="38" fillId="29" borderId="0" xfId="3" quotePrefix="1" applyFont="1" applyFill="1"/>
    <xf numFmtId="165" fontId="9" fillId="29" borderId="0" xfId="3" quotePrefix="1" applyFont="1" applyFill="1"/>
    <xf numFmtId="165" fontId="4" fillId="0" borderId="15" xfId="3" quotePrefix="1" applyFont="1" applyBorder="1"/>
    <xf numFmtId="165" fontId="0" fillId="0" borderId="0" xfId="3" applyFont="1"/>
    <xf numFmtId="0" fontId="0" fillId="18" borderId="52" xfId="0" quotePrefix="1" applyFill="1" applyBorder="1"/>
    <xf numFmtId="165" fontId="0" fillId="29" borderId="0" xfId="3" applyFont="1" applyFill="1"/>
    <xf numFmtId="0" fontId="8" fillId="19" borderId="0" xfId="0" quotePrefix="1" applyFont="1" applyFill="1"/>
    <xf numFmtId="0" fontId="0" fillId="19" borderId="51" xfId="0" quotePrefix="1" applyFill="1" applyBorder="1"/>
    <xf numFmtId="165" fontId="0" fillId="0" borderId="42" xfId="3" applyFont="1" applyBorder="1"/>
    <xf numFmtId="0" fontId="4" fillId="21" borderId="15" xfId="0" quotePrefix="1" applyFont="1" applyFill="1" applyBorder="1"/>
    <xf numFmtId="0" fontId="11" fillId="21" borderId="41" xfId="0" quotePrefix="1" applyFont="1" applyFill="1" applyBorder="1"/>
    <xf numFmtId="0" fontId="11" fillId="21" borderId="15" xfId="0" quotePrefix="1" applyFont="1" applyFill="1" applyBorder="1"/>
    <xf numFmtId="0" fontId="11" fillId="19" borderId="41" xfId="0" quotePrefix="1" applyFont="1" applyFill="1" applyBorder="1"/>
    <xf numFmtId="0" fontId="11" fillId="19" borderId="15" xfId="0" quotePrefix="1" applyFont="1" applyFill="1" applyBorder="1"/>
    <xf numFmtId="0" fontId="8" fillId="19" borderId="52" xfId="0" quotePrefix="1" applyFont="1" applyFill="1" applyBorder="1"/>
    <xf numFmtId="165" fontId="9" fillId="0" borderId="0" xfId="3" applyFont="1" applyFill="1"/>
    <xf numFmtId="0" fontId="8" fillId="19" borderId="51" xfId="0" quotePrefix="1" applyFont="1" applyFill="1" applyBorder="1"/>
    <xf numFmtId="0" fontId="8" fillId="19" borderId="42" xfId="0" quotePrefix="1" applyFont="1" applyFill="1" applyBorder="1"/>
    <xf numFmtId="0" fontId="0" fillId="19" borderId="0" xfId="0" applyFill="1"/>
    <xf numFmtId="0" fontId="4" fillId="0" borderId="40" xfId="0" applyFont="1" applyBorder="1"/>
    <xf numFmtId="165" fontId="4" fillId="0" borderId="17" xfId="3" applyFont="1" applyBorder="1"/>
    <xf numFmtId="0" fontId="0" fillId="0" borderId="40" xfId="0" applyBorder="1"/>
    <xf numFmtId="0" fontId="4" fillId="19" borderId="15" xfId="0" applyFont="1" applyFill="1" applyBorder="1"/>
    <xf numFmtId="0" fontId="0" fillId="0" borderId="50" xfId="0" applyBorder="1"/>
    <xf numFmtId="0" fontId="4" fillId="15" borderId="55" xfId="0" quotePrefix="1" applyFont="1" applyFill="1" applyBorder="1"/>
    <xf numFmtId="0" fontId="4" fillId="15" borderId="54" xfId="0" quotePrefix="1" applyFont="1" applyFill="1" applyBorder="1" applyAlignment="1">
      <alignment horizontal="left"/>
    </xf>
    <xf numFmtId="165" fontId="0" fillId="0" borderId="54" xfId="3" applyFont="1" applyBorder="1"/>
    <xf numFmtId="0" fontId="0" fillId="0" borderId="53" xfId="0" applyBorder="1"/>
    <xf numFmtId="0" fontId="0" fillId="15" borderId="52" xfId="0" quotePrefix="1" applyFill="1" applyBorder="1"/>
    <xf numFmtId="0" fontId="0" fillId="15" borderId="0" xfId="0" quotePrefix="1" applyFill="1"/>
    <xf numFmtId="0" fontId="0" fillId="0" borderId="56" xfId="0" applyBorder="1"/>
    <xf numFmtId="0" fontId="0" fillId="15" borderId="0" xfId="0" applyFill="1"/>
    <xf numFmtId="0" fontId="0" fillId="15" borderId="51" xfId="0" quotePrefix="1" applyFill="1" applyBorder="1"/>
    <xf numFmtId="0" fontId="0" fillId="15" borderId="42" xfId="0" quotePrefix="1" applyFill="1" applyBorder="1"/>
    <xf numFmtId="0" fontId="4" fillId="15" borderId="55" xfId="0" applyFont="1" applyFill="1" applyBorder="1"/>
    <xf numFmtId="0" fontId="4" fillId="15" borderId="54" xfId="0" applyFont="1" applyFill="1" applyBorder="1"/>
    <xf numFmtId="0" fontId="9" fillId="15" borderId="0" xfId="0" quotePrefix="1" applyFont="1" applyFill="1"/>
    <xf numFmtId="0" fontId="8" fillId="15" borderId="0" xfId="0" quotePrefix="1" applyFont="1" applyFill="1"/>
    <xf numFmtId="0" fontId="8" fillId="15" borderId="0" xfId="0" applyFont="1" applyFill="1"/>
    <xf numFmtId="0" fontId="8" fillId="15" borderId="42" xfId="0" applyFont="1" applyFill="1" applyBorder="1"/>
    <xf numFmtId="0" fontId="4" fillId="15" borderId="54" xfId="0" quotePrefix="1" applyFont="1" applyFill="1" applyBorder="1"/>
    <xf numFmtId="0" fontId="0" fillId="0" borderId="42" xfId="0" applyBorder="1"/>
    <xf numFmtId="1" fontId="0" fillId="5" borderId="19" xfId="0" applyNumberFormat="1" applyFill="1" applyBorder="1" applyAlignment="1">
      <alignment horizontal="center" vertical="center"/>
    </xf>
    <xf numFmtId="1" fontId="0" fillId="12" borderId="14" xfId="0" applyNumberFormat="1" applyFill="1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1" fontId="3" fillId="0" borderId="24" xfId="0" applyNumberFormat="1" applyFont="1" applyBorder="1" applyAlignment="1">
      <alignment horizontal="center" vertical="center"/>
    </xf>
    <xf numFmtId="1" fontId="8" fillId="0" borderId="17" xfId="0" applyNumberFormat="1" applyFon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9" borderId="16" xfId="0" applyNumberFormat="1" applyFill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0" fillId="5" borderId="27" xfId="0" applyNumberFormat="1" applyFill="1" applyBorder="1" applyAlignment="1">
      <alignment horizontal="center" vertical="center"/>
    </xf>
    <xf numFmtId="165" fontId="9" fillId="0" borderId="42" xfId="3" applyFont="1" applyFill="1" applyBorder="1"/>
    <xf numFmtId="165" fontId="0" fillId="19" borderId="0" xfId="3" applyFont="1" applyFill="1"/>
    <xf numFmtId="9" fontId="4" fillId="0" borderId="17" xfId="1" applyFont="1" applyFill="1" applyBorder="1"/>
    <xf numFmtId="0" fontId="15" fillId="24" borderId="0" xfId="0" applyFont="1" applyFill="1" applyAlignment="1">
      <alignment horizontal="left"/>
    </xf>
    <xf numFmtId="0" fontId="15" fillId="24" borderId="0" xfId="0" applyFont="1" applyFill="1" applyAlignment="1">
      <alignment horizontal="right"/>
    </xf>
    <xf numFmtId="164" fontId="16" fillId="24" borderId="0" xfId="0" applyNumberFormat="1" applyFont="1" applyFill="1"/>
    <xf numFmtId="164" fontId="16" fillId="0" borderId="0" xfId="0" applyNumberFormat="1" applyFont="1"/>
    <xf numFmtId="0" fontId="15" fillId="0" borderId="17" xfId="0" applyFont="1" applyBorder="1" applyAlignment="1">
      <alignment horizontal="right"/>
    </xf>
    <xf numFmtId="164" fontId="16" fillId="0" borderId="17" xfId="0" applyNumberFormat="1" applyFont="1" applyBorder="1"/>
    <xf numFmtId="0" fontId="15" fillId="0" borderId="23" xfId="0" applyFont="1" applyBorder="1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14" xfId="0" applyFont="1" applyBorder="1" applyAlignment="1">
      <alignment horizontal="right"/>
    </xf>
    <xf numFmtId="164" fontId="16" fillId="0" borderId="14" xfId="0" applyNumberFormat="1" applyFont="1" applyBorder="1"/>
    <xf numFmtId="0" fontId="15" fillId="0" borderId="20" xfId="0" applyFont="1" applyBorder="1" applyAlignment="1">
      <alignment horizontal="left"/>
    </xf>
    <xf numFmtId="0" fontId="15" fillId="0" borderId="19" xfId="0" applyFont="1" applyBorder="1" applyAlignment="1">
      <alignment horizontal="right"/>
    </xf>
    <xf numFmtId="164" fontId="16" fillId="0" borderId="19" xfId="0" applyNumberFormat="1" applyFont="1" applyBorder="1"/>
    <xf numFmtId="0" fontId="15" fillId="0" borderId="22" xfId="0" applyFont="1" applyBorder="1" applyAlignment="1">
      <alignment horizontal="left"/>
    </xf>
    <xf numFmtId="0" fontId="15" fillId="0" borderId="16" xfId="0" applyFont="1" applyBorder="1" applyAlignment="1">
      <alignment horizontal="right"/>
    </xf>
    <xf numFmtId="164" fontId="16" fillId="0" borderId="16" xfId="0" applyNumberFormat="1" applyFont="1" applyBorder="1"/>
    <xf numFmtId="164" fontId="16" fillId="0" borderId="47" xfId="0" applyNumberFormat="1" applyFont="1" applyBorder="1"/>
    <xf numFmtId="0" fontId="0" fillId="13" borderId="57" xfId="0" applyFill="1" applyBorder="1"/>
    <xf numFmtId="164" fontId="16" fillId="0" borderId="57" xfId="0" applyNumberFormat="1" applyFont="1" applyBorder="1"/>
    <xf numFmtId="164" fontId="0" fillId="13" borderId="63" xfId="0" applyNumberFormat="1" applyFill="1" applyBorder="1"/>
    <xf numFmtId="9" fontId="4" fillId="21" borderId="17" xfId="1" applyFont="1" applyFill="1" applyBorder="1"/>
    <xf numFmtId="169" fontId="16" fillId="13" borderId="38" xfId="3" applyNumberFormat="1" applyFont="1" applyFill="1" applyBorder="1"/>
    <xf numFmtId="169" fontId="16" fillId="13" borderId="35" xfId="3" applyNumberFormat="1" applyFont="1" applyFill="1" applyBorder="1"/>
    <xf numFmtId="169" fontId="16" fillId="0" borderId="35" xfId="3" applyNumberFormat="1" applyFont="1" applyBorder="1"/>
    <xf numFmtId="169" fontId="16" fillId="13" borderId="44" xfId="3" applyNumberFormat="1" applyFont="1" applyFill="1" applyBorder="1"/>
    <xf numFmtId="169" fontId="16" fillId="13" borderId="17" xfId="3" applyNumberFormat="1" applyFont="1" applyFill="1" applyBorder="1"/>
    <xf numFmtId="169" fontId="16" fillId="0" borderId="17" xfId="3" applyNumberFormat="1" applyFont="1" applyBorder="1"/>
    <xf numFmtId="169" fontId="16" fillId="13" borderId="23" xfId="3" applyNumberFormat="1" applyFont="1" applyFill="1" applyBorder="1"/>
    <xf numFmtId="169" fontId="16" fillId="0" borderId="17" xfId="3" applyNumberFormat="1" applyFont="1" applyFill="1" applyBorder="1"/>
    <xf numFmtId="169" fontId="16" fillId="13" borderId="22" xfId="3" applyNumberFormat="1" applyFont="1" applyFill="1" applyBorder="1"/>
    <xf numFmtId="169" fontId="16" fillId="13" borderId="16" xfId="3" applyNumberFormat="1" applyFont="1" applyFill="1" applyBorder="1"/>
    <xf numFmtId="169" fontId="16" fillId="0" borderId="16" xfId="3" applyNumberFormat="1" applyFont="1" applyBorder="1"/>
    <xf numFmtId="1" fontId="0" fillId="19" borderId="0" xfId="0" applyNumberFormat="1" applyFill="1" applyAlignment="1">
      <alignment horizontal="center"/>
    </xf>
    <xf numFmtId="165" fontId="9" fillId="29" borderId="0" xfId="3" applyFont="1" applyFill="1" applyBorder="1"/>
    <xf numFmtId="0" fontId="0" fillId="0" borderId="57" xfId="0" applyBorder="1"/>
    <xf numFmtId="1" fontId="0" fillId="18" borderId="14" xfId="0" applyNumberFormat="1" applyFill="1" applyBorder="1" applyAlignment="1">
      <alignment horizontal="center" vertical="center"/>
    </xf>
    <xf numFmtId="1" fontId="0" fillId="14" borderId="17" xfId="0" applyNumberFormat="1" applyFill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36" fillId="0" borderId="17" xfId="0" applyNumberFormat="1" applyFont="1" applyBorder="1" applyAlignment="1">
      <alignment horizontal="center" vertical="center"/>
    </xf>
    <xf numFmtId="0" fontId="0" fillId="15" borderId="41" xfId="0" quotePrefix="1" applyFill="1" applyBorder="1"/>
    <xf numFmtId="0" fontId="0" fillId="15" borderId="15" xfId="0" applyFill="1" applyBorder="1"/>
    <xf numFmtId="165" fontId="0" fillId="15" borderId="15" xfId="3" applyFont="1" applyFill="1" applyBorder="1"/>
    <xf numFmtId="165" fontId="0" fillId="15" borderId="17" xfId="3" applyFont="1" applyFill="1" applyBorder="1"/>
    <xf numFmtId="9" fontId="0" fillId="15" borderId="40" xfId="1" applyFont="1" applyFill="1" applyBorder="1"/>
    <xf numFmtId="165" fontId="0" fillId="18" borderId="0" xfId="3" applyFont="1" applyFill="1" applyBorder="1"/>
    <xf numFmtId="9" fontId="0" fillId="0" borderId="0" xfId="1" applyFont="1"/>
    <xf numFmtId="170" fontId="0" fillId="0" borderId="0" xfId="1" applyNumberFormat="1" applyFont="1"/>
    <xf numFmtId="43" fontId="12" fillId="0" borderId="0" xfId="0" applyNumberFormat="1" applyFont="1"/>
    <xf numFmtId="43" fontId="0" fillId="0" borderId="0" xfId="3" applyNumberFormat="1" applyFont="1" applyBorder="1" applyAlignment="1">
      <alignment horizontal="center"/>
    </xf>
    <xf numFmtId="1" fontId="0" fillId="0" borderId="0" xfId="0" applyNumberFormat="1"/>
    <xf numFmtId="1" fontId="0" fillId="18" borderId="19" xfId="0" applyNumberFormat="1" applyFill="1" applyBorder="1" applyAlignment="1">
      <alignment horizontal="center" vertical="center"/>
    </xf>
    <xf numFmtId="1" fontId="0" fillId="18" borderId="18" xfId="0" applyNumberFormat="1" applyFill="1" applyBorder="1" applyAlignment="1">
      <alignment horizontal="center" vertical="center"/>
    </xf>
    <xf numFmtId="0" fontId="4" fillId="0" borderId="52" xfId="0" applyFont="1" applyBorder="1"/>
    <xf numFmtId="43" fontId="39" fillId="0" borderId="0" xfId="0" applyNumberFormat="1" applyFont="1"/>
    <xf numFmtId="171" fontId="0" fillId="0" borderId="0" xfId="6" applyNumberFormat="1" applyFont="1"/>
    <xf numFmtId="0" fontId="31" fillId="9" borderId="39" xfId="0" applyFont="1" applyFill="1" applyBorder="1"/>
    <xf numFmtId="0" fontId="0" fillId="9" borderId="12" xfId="0" applyFill="1" applyBorder="1"/>
    <xf numFmtId="0" fontId="0" fillId="9" borderId="13" xfId="0" applyFill="1" applyBorder="1"/>
    <xf numFmtId="0" fontId="0" fillId="14" borderId="10" xfId="0" applyFill="1" applyBorder="1"/>
    <xf numFmtId="0" fontId="0" fillId="14" borderId="19" xfId="0" applyFill="1" applyBorder="1"/>
    <xf numFmtId="0" fontId="0" fillId="14" borderId="18" xfId="0" applyFill="1" applyBorder="1"/>
    <xf numFmtId="0" fontId="0" fillId="14" borderId="63" xfId="0" applyFill="1" applyBorder="1"/>
    <xf numFmtId="0" fontId="0" fillId="14" borderId="64" xfId="0" applyFill="1" applyBorder="1"/>
    <xf numFmtId="0" fontId="0" fillId="0" borderId="17" xfId="0" applyBorder="1"/>
    <xf numFmtId="0" fontId="0" fillId="0" borderId="24" xfId="0" applyBorder="1"/>
    <xf numFmtId="2" fontId="0" fillId="0" borderId="40" xfId="0" applyNumberFormat="1" applyBorder="1"/>
    <xf numFmtId="2" fontId="0" fillId="0" borderId="17" xfId="0" applyNumberFormat="1" applyBorder="1"/>
    <xf numFmtId="2" fontId="0" fillId="0" borderId="24" xfId="0" applyNumberFormat="1" applyBorder="1"/>
    <xf numFmtId="0" fontId="0" fillId="14" borderId="65" xfId="0" applyFill="1" applyBorder="1"/>
    <xf numFmtId="0" fontId="0" fillId="0" borderId="66" xfId="0" applyBorder="1"/>
    <xf numFmtId="0" fontId="0" fillId="0" borderId="30" xfId="0" applyBorder="1"/>
    <xf numFmtId="0" fontId="0" fillId="0" borderId="29" xfId="0" applyBorder="1"/>
    <xf numFmtId="0" fontId="22" fillId="30" borderId="57" xfId="0" applyFont="1" applyFill="1" applyBorder="1"/>
    <xf numFmtId="0" fontId="0" fillId="30" borderId="2" xfId="0" applyFill="1" applyBorder="1"/>
    <xf numFmtId="0" fontId="0" fillId="30" borderId="4" xfId="0" applyFill="1" applyBorder="1"/>
    <xf numFmtId="0" fontId="0" fillId="0" borderId="39" xfId="0" applyBorder="1"/>
    <xf numFmtId="0" fontId="0" fillId="14" borderId="67" xfId="0" applyFill="1" applyBorder="1"/>
    <xf numFmtId="0" fontId="0" fillId="14" borderId="27" xfId="0" applyFill="1" applyBorder="1"/>
    <xf numFmtId="0" fontId="0" fillId="14" borderId="45" xfId="0" applyFill="1" applyBorder="1"/>
    <xf numFmtId="0" fontId="0" fillId="14" borderId="68" xfId="0" applyFill="1" applyBorder="1"/>
    <xf numFmtId="2" fontId="0" fillId="0" borderId="36" xfId="0" applyNumberFormat="1" applyBorder="1"/>
    <xf numFmtId="2" fontId="0" fillId="0" borderId="35" xfId="0" applyNumberFormat="1" applyBorder="1"/>
    <xf numFmtId="2" fontId="0" fillId="0" borderId="34" xfId="0" applyNumberFormat="1" applyBorder="1"/>
    <xf numFmtId="0" fontId="22" fillId="21" borderId="57" xfId="0" applyFont="1" applyFill="1" applyBorder="1"/>
    <xf numFmtId="0" fontId="0" fillId="21" borderId="2" xfId="0" applyFill="1" applyBorder="1"/>
    <xf numFmtId="0" fontId="0" fillId="21" borderId="4" xfId="0" applyFill="1" applyBorder="1"/>
    <xf numFmtId="166" fontId="0" fillId="0" borderId="0" xfId="0" applyNumberFormat="1"/>
    <xf numFmtId="14" fontId="0" fillId="0" borderId="0" xfId="0" applyNumberFormat="1"/>
    <xf numFmtId="166" fontId="0" fillId="19" borderId="14" xfId="7" applyNumberFormat="1" applyFont="1" applyFill="1" applyBorder="1" applyAlignment="1">
      <alignment horizontal="center" vertical="center"/>
    </xf>
    <xf numFmtId="166" fontId="0" fillId="19" borderId="25" xfId="7" applyNumberFormat="1" applyFont="1" applyFill="1" applyBorder="1" applyAlignment="1">
      <alignment horizontal="center" vertical="center"/>
    </xf>
    <xf numFmtId="166" fontId="0" fillId="19" borderId="17" xfId="7" applyNumberFormat="1" applyFont="1" applyFill="1" applyBorder="1" applyAlignment="1">
      <alignment horizontal="center" vertical="center"/>
    </xf>
    <xf numFmtId="166" fontId="0" fillId="19" borderId="24" xfId="7" applyNumberFormat="1" applyFont="1" applyFill="1" applyBorder="1" applyAlignment="1">
      <alignment horizontal="center" vertical="center"/>
    </xf>
    <xf numFmtId="166" fontId="3" fillId="19" borderId="17" xfId="7" applyNumberFormat="1" applyFont="1" applyFill="1" applyBorder="1" applyAlignment="1">
      <alignment horizontal="center" vertical="center"/>
    </xf>
    <xf numFmtId="166" fontId="3" fillId="19" borderId="24" xfId="7" applyNumberFormat="1" applyFont="1" applyFill="1" applyBorder="1" applyAlignment="1">
      <alignment horizontal="center" vertical="center"/>
    </xf>
    <xf numFmtId="166" fontId="8" fillId="19" borderId="17" xfId="7" applyNumberFormat="1" applyFont="1" applyFill="1" applyBorder="1" applyAlignment="1">
      <alignment horizontal="center" vertical="center"/>
    </xf>
    <xf numFmtId="166" fontId="0" fillId="19" borderId="16" xfId="7" applyNumberFormat="1" applyFont="1" applyFill="1" applyBorder="1" applyAlignment="1">
      <alignment horizontal="center" vertical="center"/>
    </xf>
    <xf numFmtId="166" fontId="8" fillId="19" borderId="21" xfId="7" applyNumberFormat="1" applyFont="1" applyFill="1" applyBorder="1" applyAlignment="1">
      <alignment horizontal="center" vertical="center"/>
    </xf>
    <xf numFmtId="166" fontId="8" fillId="19" borderId="16" xfId="7" applyNumberFormat="1" applyFont="1" applyFill="1" applyBorder="1" applyAlignment="1">
      <alignment horizontal="center" vertical="center"/>
    </xf>
    <xf numFmtId="43" fontId="16" fillId="20" borderId="17" xfId="7" applyFont="1" applyFill="1" applyBorder="1"/>
    <xf numFmtId="43" fontId="15" fillId="13" borderId="34" xfId="7" applyFont="1" applyFill="1" applyBorder="1" applyAlignment="1">
      <alignment horizontal="center" vertical="center"/>
    </xf>
    <xf numFmtId="43" fontId="15" fillId="13" borderId="21" xfId="7" applyFont="1" applyFill="1" applyBorder="1" applyAlignment="1">
      <alignment horizontal="center" vertical="center" wrapText="1"/>
    </xf>
    <xf numFmtId="43" fontId="16" fillId="24" borderId="19" xfId="7" applyFont="1" applyFill="1" applyBorder="1" applyAlignment="1">
      <alignment horizontal="center"/>
    </xf>
    <xf numFmtId="43" fontId="16" fillId="13" borderId="14" xfId="7" applyFont="1" applyFill="1" applyBorder="1" applyAlignment="1">
      <alignment horizontal="center"/>
    </xf>
    <xf numFmtId="43" fontId="16" fillId="24" borderId="19" xfId="7" applyFont="1" applyFill="1" applyBorder="1"/>
    <xf numFmtId="43" fontId="16" fillId="24" borderId="0" xfId="7" applyFont="1" applyFill="1"/>
    <xf numFmtId="43" fontId="16" fillId="0" borderId="19" xfId="7" applyFont="1" applyBorder="1"/>
    <xf numFmtId="43" fontId="16" fillId="0" borderId="14" xfId="7" applyFont="1" applyBorder="1"/>
    <xf numFmtId="43" fontId="16" fillId="0" borderId="16" xfId="7" applyFont="1" applyBorder="1"/>
    <xf numFmtId="43" fontId="16" fillId="0" borderId="0" xfId="7" applyFont="1"/>
    <xf numFmtId="43" fontId="15" fillId="0" borderId="34" xfId="7" applyFont="1" applyBorder="1" applyAlignment="1">
      <alignment horizontal="center" vertical="center"/>
    </xf>
    <xf numFmtId="43" fontId="15" fillId="0" borderId="21" xfId="7" applyFont="1" applyBorder="1" applyAlignment="1">
      <alignment horizontal="center" vertical="center" wrapText="1"/>
    </xf>
    <xf numFmtId="43" fontId="16" fillId="0" borderId="34" xfId="7" applyFont="1" applyFill="1" applyBorder="1"/>
    <xf numFmtId="43" fontId="16" fillId="0" borderId="24" xfId="7" applyFont="1" applyFill="1" applyBorder="1"/>
    <xf numFmtId="43" fontId="16" fillId="0" borderId="18" xfId="7" applyFont="1" applyFill="1" applyBorder="1"/>
    <xf numFmtId="43" fontId="16" fillId="13" borderId="17" xfId="7" applyFont="1" applyFill="1" applyBorder="1"/>
    <xf numFmtId="43" fontId="15" fillId="12" borderId="18" xfId="7" applyFont="1" applyFill="1" applyBorder="1" applyAlignment="1">
      <alignment horizontal="center" vertical="center" wrapText="1"/>
    </xf>
    <xf numFmtId="43" fontId="15" fillId="12" borderId="45" xfId="7" applyFont="1" applyFill="1" applyBorder="1" applyAlignment="1">
      <alignment horizontal="center" vertical="center" wrapText="1"/>
    </xf>
    <xf numFmtId="43" fontId="16" fillId="19" borderId="34" xfId="7" applyFont="1" applyFill="1" applyBorder="1"/>
    <xf numFmtId="43" fontId="16" fillId="19" borderId="24" xfId="7" applyFont="1" applyFill="1" applyBorder="1"/>
    <xf numFmtId="43" fontId="16" fillId="19" borderId="21" xfId="7" applyFont="1" applyFill="1" applyBorder="1"/>
    <xf numFmtId="43" fontId="16" fillId="19" borderId="18" xfId="7" applyFont="1" applyFill="1" applyBorder="1"/>
    <xf numFmtId="43" fontId="16" fillId="19" borderId="14" xfId="7" applyFont="1" applyFill="1" applyBorder="1"/>
    <xf numFmtId="43" fontId="16" fillId="19" borderId="17" xfId="7" applyFont="1" applyFill="1" applyBorder="1"/>
    <xf numFmtId="43" fontId="16" fillId="15" borderId="0" xfId="7" applyFont="1" applyFill="1"/>
    <xf numFmtId="43" fontId="29" fillId="13" borderId="0" xfId="7" applyFont="1" applyFill="1"/>
    <xf numFmtId="43" fontId="16" fillId="13" borderId="0" xfId="7" applyFont="1" applyFill="1"/>
    <xf numFmtId="43" fontId="16" fillId="23" borderId="0" xfId="7" applyFont="1" applyFill="1"/>
    <xf numFmtId="43" fontId="15" fillId="15" borderId="0" xfId="7" applyFont="1" applyFill="1" applyAlignment="1">
      <alignment horizontal="center" vertical="center"/>
    </xf>
    <xf numFmtId="43" fontId="26" fillId="15" borderId="0" xfId="7" applyFont="1" applyFill="1" applyAlignment="1">
      <alignment horizontal="center" vertical="center" wrapText="1"/>
    </xf>
    <xf numFmtId="43" fontId="0" fillId="13" borderId="0" xfId="7" applyFont="1" applyFill="1"/>
    <xf numFmtId="43" fontId="0" fillId="0" borderId="0" xfId="7" applyFont="1"/>
    <xf numFmtId="43" fontId="35" fillId="27" borderId="57" xfId="7" applyFont="1" applyFill="1" applyBorder="1"/>
    <xf numFmtId="0" fontId="0" fillId="31" borderId="0" xfId="0" applyFill="1"/>
    <xf numFmtId="0" fontId="37" fillId="0" borderId="0" xfId="0" applyFont="1" applyAlignment="1">
      <alignment horizontal="center"/>
    </xf>
    <xf numFmtId="0" fontId="4" fillId="0" borderId="39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4" fillId="0" borderId="41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40" xfId="0" applyFont="1" applyBorder="1" applyAlignment="1">
      <alignment horizontal="center"/>
    </xf>
    <xf numFmtId="0" fontId="15" fillId="0" borderId="15" xfId="2" applyFont="1" applyBorder="1" applyAlignment="1">
      <alignment horizontal="center" vertical="center" wrapText="1"/>
    </xf>
    <xf numFmtId="0" fontId="15" fillId="19" borderId="37" xfId="2" applyFont="1" applyFill="1" applyBorder="1" applyAlignment="1">
      <alignment horizontal="center" vertical="center"/>
    </xf>
    <xf numFmtId="0" fontId="15" fillId="19" borderId="36" xfId="2" applyFont="1" applyFill="1" applyBorder="1" applyAlignment="1">
      <alignment horizontal="center" vertical="center"/>
    </xf>
    <xf numFmtId="0" fontId="15" fillId="3" borderId="37" xfId="2" applyFont="1" applyFill="1" applyBorder="1" applyAlignment="1">
      <alignment horizontal="center" vertical="center"/>
    </xf>
    <xf numFmtId="0" fontId="15" fillId="3" borderId="36" xfId="2" applyFont="1" applyFill="1" applyBorder="1" applyAlignment="1">
      <alignment horizontal="center" vertical="center"/>
    </xf>
    <xf numFmtId="0" fontId="15" fillId="15" borderId="42" xfId="0" applyFont="1" applyFill="1" applyBorder="1" applyAlignment="1">
      <alignment horizontal="center" vertical="center"/>
    </xf>
    <xf numFmtId="0" fontId="15" fillId="19" borderId="35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5" fillId="15" borderId="8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4" fillId="15" borderId="16" xfId="0" applyFont="1" applyFill="1" applyBorder="1" applyAlignment="1">
      <alignment horizontal="center" vertical="center" textRotation="90"/>
    </xf>
    <xf numFmtId="0" fontId="34" fillId="15" borderId="43" xfId="0" applyFont="1" applyFill="1" applyBorder="1" applyAlignment="1">
      <alignment horizontal="center" vertical="center" textRotation="90"/>
    </xf>
    <xf numFmtId="0" fontId="34" fillId="15" borderId="14" xfId="0" applyFont="1" applyFill="1" applyBorder="1" applyAlignment="1">
      <alignment horizontal="center" vertical="center" textRotation="90"/>
    </xf>
    <xf numFmtId="0" fontId="34" fillId="13" borderId="54" xfId="2" applyFont="1" applyFill="1" applyBorder="1" applyAlignment="1">
      <alignment horizontal="center" textRotation="45"/>
    </xf>
    <xf numFmtId="0" fontId="34" fillId="13" borderId="0" xfId="2" applyFont="1" applyFill="1" applyAlignment="1">
      <alignment horizontal="center" textRotation="45"/>
    </xf>
    <xf numFmtId="0" fontId="34" fillId="13" borderId="42" xfId="2" applyFont="1" applyFill="1" applyBorder="1" applyAlignment="1">
      <alignment horizontal="center" textRotation="45"/>
    </xf>
    <xf numFmtId="0" fontId="34" fillId="13" borderId="55" xfId="2" applyFont="1" applyFill="1" applyBorder="1" applyAlignment="1">
      <alignment horizontal="center" textRotation="45"/>
    </xf>
    <xf numFmtId="0" fontId="34" fillId="13" borderId="52" xfId="2" applyFont="1" applyFill="1" applyBorder="1" applyAlignment="1">
      <alignment horizontal="center" textRotation="45"/>
    </xf>
    <xf numFmtId="0" fontId="34" fillId="13" borderId="51" xfId="2" applyFont="1" applyFill="1" applyBorder="1" applyAlignment="1">
      <alignment horizontal="center" textRotation="45"/>
    </xf>
    <xf numFmtId="41" fontId="0" fillId="14" borderId="20" xfId="0" applyNumberFormat="1" applyFill="1" applyBorder="1" applyAlignment="1">
      <alignment horizontal="center"/>
    </xf>
    <xf numFmtId="41" fontId="0" fillId="14" borderId="18" xfId="0" applyNumberFormat="1" applyFill="1" applyBorder="1" applyAlignment="1">
      <alignment horizontal="center"/>
    </xf>
  </cellXfs>
  <cellStyles count="8">
    <cellStyle name="Comma" xfId="7" builtinId="3"/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Currency" xfId="6" builtinId="4"/>
    <cellStyle name="Normal" xfId="0" builtinId="0"/>
    <cellStyle name="Normal 2" xfId="2" xr:uid="{00000000-0005-0000-0000-000004000000}"/>
    <cellStyle name="Percent" xfId="1" builtinId="5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Y:/SNR_Reports/Mpeza/Monthly%20Ops%20reporting/Luwombwa/Feb%202016/Final/Pivot%20by%20Pivot%20Analysis%20SZL%20Feb%202016%20_Final.xlsx" TargetMode="External"/><Relationship Id="rId1" Type="http://schemas.openxmlformats.org/officeDocument/2006/relationships/externalLinkPath" Target="/Y:/SNR_Reports/Mpeza/Monthly%20Ops%20reporting/Luwombwa/Feb%202016/Final/Pivot%20by%20Pivot%20Analysis%20SZL%20Feb%202016%20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:/Users/ChimwemweS/Documents/Finance%20documentation/Management%20account/Management%20reports/February%20reports/OH%20TB%20for%20Feb%202016.xlsx" TargetMode="External"/><Relationship Id="rId1" Type="http://schemas.openxmlformats.org/officeDocument/2006/relationships/externalLinkPath" Target="/C:/Users/ChimwemweS/Documents/Finance%20documentation/Management%20account/Management%20reports/February%20reports/OH%20TB%20for%20Feb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:/Users/silver/AppData/Local/Microsoft/Windows/Temporary%20Internet%20Files/Content.Outlook/K9AOX08W/SRL%20August%202017%20Payroll%20Summaries.xlsx" TargetMode="External"/><Relationship Id="rId1" Type="http://schemas.openxmlformats.org/officeDocument/2006/relationships/externalLinkPath" Target="/C:/Users/silver/AppData/Local/Microsoft/Windows/Temporary%20Internet%20Files/Content.Outlook/K9AOX08W/SRL%20August%202017%20Payroll%20Summar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Zesco apportionment"/>
      <sheetName val="R&amp;M apportionment"/>
      <sheetName val="Pivot_by_Pivot_Feb16"/>
      <sheetName val="Consol Summer 15_16"/>
      <sheetName val="Consol Winter 16"/>
      <sheetName val="Consol Summer16_17"/>
      <sheetName val="Consol Total 2016"/>
      <sheetName val="Cashflow"/>
      <sheetName val="Consolidated IS with OH"/>
      <sheetName val="Overheads Feb YTD"/>
      <sheetName val="Lead Sheet WIP JAN 2016 RA"/>
      <sheetName val="Lead Sheet WIP JAN 2016"/>
      <sheetName val="BUDGET"/>
      <sheetName val="Sheet2 (2)"/>
      <sheetName val="SUMMARRY"/>
      <sheetName val="WIP JNL"/>
      <sheetName val="TB"/>
      <sheetName val="1"/>
      <sheetName val="4"/>
      <sheetName val="4S"/>
      <sheetName val="5"/>
      <sheetName val="6"/>
      <sheetName val="7"/>
      <sheetName val="7S"/>
      <sheetName val="8"/>
      <sheetName val="9"/>
      <sheetName val="11"/>
      <sheetName val="12"/>
      <sheetName val="13"/>
      <sheetName val="15"/>
      <sheetName val="16"/>
      <sheetName val="17"/>
      <sheetName val="Dev 005"/>
      <sheetName val="Dev 007"/>
      <sheetName val="Dev 009"/>
      <sheetName val="Dev 012"/>
      <sheetName val="INT SALES"/>
      <sheetName val="DEV TB"/>
      <sheetName val="Serenje"/>
      <sheetName val="Kakushi"/>
      <sheetName val="Development"/>
      <sheetName val="Notes"/>
      <sheetName val="Inc sta budget amend request"/>
      <sheetName val="Luwombwa IS ZMW"/>
      <sheetName val="Sheet2"/>
      <sheetName val="Fixed Assets Book Depreciation "/>
      <sheetName val="Income statement_Budget"/>
      <sheetName val="Inc statemnt revised"/>
      <sheetName val="Cashflow revised"/>
      <sheetName val="Cashflow (2)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">
          <cell r="B2" t="str">
            <v>Management, Labour and Central cost</v>
          </cell>
        </row>
        <row r="3">
          <cell r="B3" t="str">
            <v>Staff welfare</v>
          </cell>
        </row>
        <row r="4">
          <cell r="B4" t="str">
            <v>Staff training</v>
          </cell>
        </row>
        <row r="5">
          <cell r="B5" t="str">
            <v>ESG/Stakeholder engagement</v>
          </cell>
        </row>
        <row r="6">
          <cell r="B6" t="str">
            <v>R and M Buildings</v>
          </cell>
        </row>
        <row r="7">
          <cell r="B7" t="str">
            <v>R and M Motor Vehicles</v>
          </cell>
        </row>
        <row r="8">
          <cell r="B8" t="str">
            <v>R and M Roads</v>
          </cell>
        </row>
        <row r="9">
          <cell r="B9" t="str">
            <v>Transport</v>
          </cell>
        </row>
        <row r="10">
          <cell r="B10" t="str">
            <v>Overhead fuel</v>
          </cell>
        </row>
        <row r="11">
          <cell r="B11" t="str">
            <v>Small tools</v>
          </cell>
        </row>
        <row r="12">
          <cell r="B12" t="str">
            <v>Consumables</v>
          </cell>
        </row>
        <row r="13">
          <cell r="B13" t="str">
            <v>Overhead Electricity</v>
          </cell>
        </row>
        <row r="14">
          <cell r="B14" t="str">
            <v>Farm Pack Insurance</v>
          </cell>
        </row>
        <row r="15">
          <cell r="B15" t="str">
            <v>Phones and internet</v>
          </cell>
        </row>
        <row r="16">
          <cell r="B16" t="str">
            <v>Office Supplies</v>
          </cell>
        </row>
        <row r="17">
          <cell r="B17" t="str">
            <v>Travel and Accomodation</v>
          </cell>
        </row>
        <row r="18">
          <cell r="B18" t="str">
            <v>Other expenses</v>
          </cell>
        </row>
      </sheetData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H TB for Feb 2016"/>
      <sheetName val="Zesco apportionment"/>
      <sheetName val="R&amp;M Apportionment"/>
      <sheetName val="Sheet1"/>
    </sheetNames>
    <sheetDataSet>
      <sheetData sheetId="0"/>
      <sheetData sheetId="1"/>
      <sheetData sheetId="2"/>
      <sheetData sheetId="3">
        <row r="1">
          <cell r="B1" t="str">
            <v>Development Management Charge</v>
          </cell>
        </row>
        <row r="2">
          <cell r="B2" t="str">
            <v>Management, Labour and Central cost</v>
          </cell>
        </row>
        <row r="3">
          <cell r="B3" t="str">
            <v>Staff welfare</v>
          </cell>
        </row>
        <row r="4">
          <cell r="B4" t="str">
            <v>Staff training</v>
          </cell>
        </row>
        <row r="5">
          <cell r="B5" t="str">
            <v>ESG/Stakeholder engagement</v>
          </cell>
        </row>
        <row r="6">
          <cell r="B6" t="str">
            <v>R and M Buildings</v>
          </cell>
        </row>
        <row r="7">
          <cell r="B7" t="str">
            <v>R and M Motor Vehicles</v>
          </cell>
        </row>
        <row r="8">
          <cell r="B8" t="str">
            <v>R and M Roads</v>
          </cell>
        </row>
        <row r="9">
          <cell r="B9" t="str">
            <v>Transport</v>
          </cell>
        </row>
        <row r="10">
          <cell r="B10" t="str">
            <v>Overhead fuel</v>
          </cell>
        </row>
        <row r="11">
          <cell r="B11" t="str">
            <v>Small tools</v>
          </cell>
        </row>
        <row r="12">
          <cell r="B12" t="str">
            <v>Consumables</v>
          </cell>
        </row>
        <row r="13">
          <cell r="B13" t="str">
            <v>Overhead Electricity</v>
          </cell>
        </row>
        <row r="14">
          <cell r="B14" t="str">
            <v>Farm Pack Insurance</v>
          </cell>
        </row>
        <row r="15">
          <cell r="B15" t="str">
            <v>Phones and internet</v>
          </cell>
        </row>
        <row r="16">
          <cell r="B16" t="str">
            <v>Office Supplies</v>
          </cell>
        </row>
        <row r="17">
          <cell r="B17" t="str">
            <v>Travel and Accomodation</v>
          </cell>
        </row>
        <row r="18">
          <cell r="B18" t="str">
            <v>Other expenses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  <sheetName val="Lookups"/>
      <sheetName val="Parameters"/>
      <sheetName val="Summary"/>
      <sheetName val="Detail"/>
    </sheetNames>
    <sheetDataSet>
      <sheetData sheetId="0"/>
      <sheetData sheetId="1">
        <row r="3">
          <cell r="D3" t="str">
            <v>Department</v>
          </cell>
        </row>
      </sheetData>
      <sheetData sheetId="2">
        <row r="2">
          <cell r="HI2" t="str">
            <v>SILVERLANDS RANCHING LTD</v>
          </cell>
        </row>
      </sheetData>
      <sheetData sheetId="3"/>
      <sheetData sheetId="4"/>
      <sheetData sheetId="5"/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owan Hayter" id="{75CB388C-AE12-4F06-8C2E-C481A8AB0CE3}" userId="Rowan Hayter" providerId="None"/>
  <person displayName="Rowan Hayter" id="{D6FD2447-407F-4ADF-A8AF-AB5436629492}" userId="c376467953b41951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P28" dT="2020-04-16T08:53:18.87" personId="{D6FD2447-407F-4ADF-A8AF-AB5436629492}" id="{E6623D16-AF01-4104-8CB3-DEB61308B3CF}">
    <text>Rough Estimate of Total Cost 2019 divided into 12 months, not sure if this is the best way to do it?</text>
  </threadedComment>
  <threadedComment ref="AP29" dT="2020-04-16T08:56:22.44" personId="{D6FD2447-407F-4ADF-A8AF-AB5436629492}" id="{C4771688-358E-4110-B254-46BFAD52294E}">
    <text>From AA Average cost of Maintance of a vehicle $1800 per year / 12 months</text>
  </threadedComment>
  <threadedComment ref="AP31" dT="2020-04-16T08:58:13.60" personId="{D6FD2447-407F-4ADF-A8AF-AB5436629492}" id="{3446A76F-5647-458E-A937-5416753A7D2F}">
    <text>Cost for full service of generator last year was $150 assuming 2 services per year</text>
  </threadedComment>
  <threadedComment ref="AP66" dT="2020-04-16T10:02:34.36" personId="{D6FD2447-407F-4ADF-A8AF-AB5436629492}" id="{0B8BF4CA-B1CA-4B77-996E-C60A5EB801C4}">
    <text>Based on last years accounts this was 2,5% of expenses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40" dT="2021-01-07T08:27:15.50" personId="{75CB388C-AE12-4F06-8C2E-C481A8AB0CE3}" id="{19417379-75F7-4A81-B98D-A5112473DBBA}">
    <text>This will depend on results of FEC's</text>
  </threadedComment>
  <threadedComment ref="A112" dT="2021-01-07T08:26:45.85" personId="{75CB388C-AE12-4F06-8C2E-C481A8AB0CE3}" id="{A6DD0E4A-AD22-49E9-A6BA-3B0848B80EB2}">
    <text>Depending on results of FEC's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3"/>
  <sheetViews>
    <sheetView tabSelected="1" topLeftCell="A6" zoomScale="117" zoomScaleNormal="80" workbookViewId="0">
      <selection activeCell="E24" sqref="E24"/>
    </sheetView>
  </sheetViews>
  <sheetFormatPr defaultColWidth="10.77734375" defaultRowHeight="14.4" outlineLevelRow="2" x14ac:dyDescent="0.3"/>
  <cols>
    <col min="2" max="2" width="41.5546875" customWidth="1"/>
    <col min="3" max="6" width="11.77734375" bestFit="1" customWidth="1"/>
    <col min="7" max="7" width="12.21875" bestFit="1" customWidth="1"/>
    <col min="8" max="8" width="12.77734375" bestFit="1" customWidth="1"/>
    <col min="9" max="10" width="12.21875" bestFit="1" customWidth="1"/>
    <col min="11" max="14" width="12.77734375" bestFit="1" customWidth="1"/>
    <col min="15" max="15" width="14.77734375" customWidth="1"/>
    <col min="17" max="17" width="4.21875" customWidth="1"/>
    <col min="20" max="20" width="19.44140625" bestFit="1" customWidth="1"/>
    <col min="21" max="21" width="17.21875" bestFit="1" customWidth="1"/>
    <col min="22" max="22" width="20.21875" bestFit="1" customWidth="1"/>
  </cols>
  <sheetData>
    <row r="1" spans="1:22" ht="18.600000000000001" thickBot="1" x14ac:dyDescent="0.4">
      <c r="A1" s="601" t="s">
        <v>354</v>
      </c>
      <c r="B1" s="601"/>
    </row>
    <row r="2" spans="1:22" x14ac:dyDescent="0.3">
      <c r="A2" s="333"/>
      <c r="B2" s="334"/>
      <c r="C2" s="335" t="s">
        <v>276</v>
      </c>
      <c r="D2" s="336" t="s">
        <v>275</v>
      </c>
      <c r="E2" s="336" t="s">
        <v>274</v>
      </c>
      <c r="F2" s="336" t="s">
        <v>273</v>
      </c>
      <c r="G2" s="336" t="s">
        <v>3</v>
      </c>
      <c r="H2" s="336" t="s">
        <v>272</v>
      </c>
      <c r="I2" s="336" t="s">
        <v>271</v>
      </c>
      <c r="J2" s="336" t="s">
        <v>270</v>
      </c>
      <c r="K2" s="336" t="s">
        <v>269</v>
      </c>
      <c r="L2" s="336" t="s">
        <v>268</v>
      </c>
      <c r="M2" s="336" t="s">
        <v>267</v>
      </c>
      <c r="N2" s="336" t="s">
        <v>264</v>
      </c>
      <c r="O2" s="602" t="s">
        <v>355</v>
      </c>
      <c r="P2" s="604" t="s">
        <v>356</v>
      </c>
    </row>
    <row r="3" spans="1:22" ht="15" thickBot="1" x14ac:dyDescent="0.35">
      <c r="A3" s="337"/>
      <c r="B3" s="338"/>
      <c r="C3" s="339" t="s">
        <v>357</v>
      </c>
      <c r="D3" s="340" t="s">
        <v>357</v>
      </c>
      <c r="E3" s="340" t="s">
        <v>357</v>
      </c>
      <c r="F3" s="340" t="s">
        <v>357</v>
      </c>
      <c r="G3" s="340" t="s">
        <v>357</v>
      </c>
      <c r="H3" s="340" t="s">
        <v>357</v>
      </c>
      <c r="I3" s="340" t="s">
        <v>357</v>
      </c>
      <c r="J3" s="340" t="s">
        <v>357</v>
      </c>
      <c r="K3" s="340" t="s">
        <v>357</v>
      </c>
      <c r="L3" s="340" t="s">
        <v>357</v>
      </c>
      <c r="M3" s="340" t="s">
        <v>357</v>
      </c>
      <c r="N3" s="340" t="s">
        <v>357</v>
      </c>
      <c r="O3" s="603"/>
      <c r="P3" s="605"/>
      <c r="U3" t="s">
        <v>650</v>
      </c>
      <c r="V3">
        <v>3</v>
      </c>
    </row>
    <row r="4" spans="1:22" x14ac:dyDescent="0.3">
      <c r="A4" s="341"/>
      <c r="B4" s="341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</row>
    <row r="5" spans="1:22" x14ac:dyDescent="0.3">
      <c r="A5" s="341"/>
      <c r="B5" s="343" t="s">
        <v>358</v>
      </c>
      <c r="C5" s="344">
        <f>'Stock Numbers'!J19</f>
        <v>98.752500000000012</v>
      </c>
      <c r="D5" s="344">
        <f>'Stock Numbers'!J36</f>
        <v>98.505618750000011</v>
      </c>
      <c r="E5" s="344">
        <f>'Stock Numbers'!J53</f>
        <v>98.259354703124998</v>
      </c>
      <c r="F5" s="344">
        <f>'Stock Numbers'!J70</f>
        <v>98.013706316367191</v>
      </c>
      <c r="G5" s="344">
        <f>'Stock Numbers'!J87</f>
        <v>88.168672050576276</v>
      </c>
      <c r="H5" s="344">
        <f>'Stock Numbers'!J104</f>
        <v>87.948250370449827</v>
      </c>
      <c r="I5" s="344">
        <f>'Stock Numbers'!J121</f>
        <v>109.83757059555182</v>
      </c>
      <c r="J5" s="344">
        <f>'Stock Numbers'!J138</f>
        <v>98.562976669062948</v>
      </c>
      <c r="K5" s="344">
        <f>'Stock Numbers'!J155</f>
        <v>89.816569227390275</v>
      </c>
      <c r="L5" s="344">
        <f>'Stock Numbers'!J172</f>
        <v>94.508214420011356</v>
      </c>
      <c r="M5" s="344">
        <f>'Stock Numbers'!J189</f>
        <v>99.188130499650896</v>
      </c>
      <c r="N5" s="344">
        <f>'Stock Numbers'!J206</f>
        <v>96.856346789091276</v>
      </c>
      <c r="O5" s="345"/>
      <c r="P5" s="346"/>
    </row>
    <row r="6" spans="1:22" x14ac:dyDescent="0.3">
      <c r="A6" s="341"/>
      <c r="B6" s="347" t="s">
        <v>359</v>
      </c>
      <c r="C6" s="348">
        <f>IFERROR(SUM(C28/$C$5),0)</f>
        <v>0</v>
      </c>
      <c r="D6" s="348">
        <f>IFERROR(SUM(D28/$D$5),0)</f>
        <v>0</v>
      </c>
      <c r="E6" s="348">
        <f>IFERROR(SUM(E28/$E$5),0)</f>
        <v>0</v>
      </c>
      <c r="F6" s="348">
        <f>IFERROR(SUM(F28/$F$5),0)</f>
        <v>0</v>
      </c>
      <c r="G6" s="348">
        <f>SUM(G28/$G$5)</f>
        <v>7.0365129197377438</v>
      </c>
      <c r="H6" s="348">
        <f>SUM(H28/$H$5)</f>
        <v>0</v>
      </c>
      <c r="I6" s="348">
        <f>SUM(I28/$I$5)</f>
        <v>0</v>
      </c>
      <c r="J6" s="348">
        <f>SUM(J28/$J$5)</f>
        <v>4.4641508898148734</v>
      </c>
      <c r="K6" s="348">
        <f>SUM(K28/$K$5)</f>
        <v>6.3128663772996667</v>
      </c>
      <c r="L6" s="348">
        <f>SUM(L28/$L$5)</f>
        <v>0</v>
      </c>
      <c r="M6" s="348">
        <f>SUM(M28/$M$5)</f>
        <v>0</v>
      </c>
      <c r="N6" s="348">
        <f>SUM(N28/$N$5)</f>
        <v>6.0527783613043322</v>
      </c>
      <c r="O6" s="349">
        <f t="shared" ref="O6" si="0">SUM(C6:N6)/12</f>
        <v>1.9888590456797182</v>
      </c>
      <c r="P6" s="350">
        <f>SUM(O6/$O$13)</f>
        <v>5.5285090065142019E-2</v>
      </c>
      <c r="Q6" s="606">
        <v>1</v>
      </c>
      <c r="S6" s="517">
        <f>R6*12</f>
        <v>0</v>
      </c>
    </row>
    <row r="7" spans="1:22" x14ac:dyDescent="0.3">
      <c r="A7" s="341"/>
      <c r="B7" s="347" t="s">
        <v>360</v>
      </c>
      <c r="C7" s="348">
        <f>IFERROR(SUM(C34/$C$5),0)</f>
        <v>16.646173514594565</v>
      </c>
      <c r="D7" s="348">
        <f>IFERROR(SUM(D34/$D$5),0)</f>
        <v>14.007586593252071</v>
      </c>
      <c r="E7" s="348">
        <f>IFERROR(SUM(E34/$E$5),0)</f>
        <v>12.144746183017729</v>
      </c>
      <c r="F7" s="348">
        <f>IFERROR(SUM(F34/$F$5),0)</f>
        <v>13.335453243094387</v>
      </c>
      <c r="G7" s="348">
        <f>SUM(G34/$G$5)</f>
        <v>13.141876421426433</v>
      </c>
      <c r="H7" s="348">
        <f>SUM(H34/$H$5)</f>
        <v>32.326902641942496</v>
      </c>
      <c r="I7" s="348">
        <f>SUM(I34/$I$5)</f>
        <v>16.939617818962997</v>
      </c>
      <c r="J7" s="348">
        <f>SUM(J34/$J$5)</f>
        <v>16.212816874469627</v>
      </c>
      <c r="K7" s="348">
        <f>SUM(K34/$K$5)</f>
        <v>27.606106485462789</v>
      </c>
      <c r="L7" s="348">
        <f>SUM(L34/$L$5)</f>
        <v>32.677378638267044</v>
      </c>
      <c r="M7" s="348">
        <f>SUM(M34/$M$5)</f>
        <v>31.358912103363348</v>
      </c>
      <c r="N7" s="348">
        <f>SUM(N34/$N$5)</f>
        <v>24.691465101495869</v>
      </c>
      <c r="O7" s="349">
        <f>SUM(C7:N7)/COUNT(C7:N7)</f>
        <v>20.924086301612448</v>
      </c>
      <c r="P7" s="350">
        <f t="shared" ref="P7:P12" si="1">SUM(O7/$O$13)</f>
        <v>0.5816349822418414</v>
      </c>
      <c r="Q7" s="606"/>
      <c r="R7" s="351">
        <f>SUM(O6:O8)</f>
        <v>23.952457998171774</v>
      </c>
      <c r="S7" s="517">
        <f t="shared" ref="S7:S12" si="2">R7*12</f>
        <v>287.42949597806125</v>
      </c>
    </row>
    <row r="8" spans="1:22" x14ac:dyDescent="0.3">
      <c r="A8" s="341"/>
      <c r="B8" s="347" t="s">
        <v>361</v>
      </c>
      <c r="C8" s="348">
        <f>IFERROR(SUM(C69/$C$5),0)</f>
        <v>1.0126325915799599</v>
      </c>
      <c r="D8" s="348">
        <f>IFERROR(SUM(D69/$D$5),0)</f>
        <v>1.0151705178746464</v>
      </c>
      <c r="E8" s="348">
        <f>IFERROR(SUM(E69/$E$5),0)</f>
        <v>1.0177148048868638</v>
      </c>
      <c r="F8" s="348">
        <f>IFERROR(SUM(F69/$F$5),0)</f>
        <v>1.0202654685582593</v>
      </c>
      <c r="G8" s="348">
        <f>SUM(G69/$G$5)</f>
        <v>1.134189703374878</v>
      </c>
      <c r="H8" s="348">
        <f>SUM(H69/$H$5)</f>
        <v>1.1370322840850908</v>
      </c>
      <c r="I8" s="348">
        <f>SUM(I69/$I$5)</f>
        <v>0.91043528601177726</v>
      </c>
      <c r="J8" s="348">
        <f>SUM(J69/$J$5)</f>
        <v>1.0145797476851985</v>
      </c>
      <c r="K8" s="348">
        <f>SUM(K69/$K$5)</f>
        <v>1.1133803134567315</v>
      </c>
      <c r="L8" s="348">
        <f>SUM(L69/$L$5)</f>
        <v>1.0581090819850025</v>
      </c>
      <c r="M8" s="348">
        <f>SUM(M69/$M$5)</f>
        <v>1.0081851477213997</v>
      </c>
      <c r="N8" s="348">
        <f>SUM(N69/$N$5)</f>
        <v>1.0324568633354938</v>
      </c>
      <c r="O8" s="349">
        <f>SUM(C8:N8)/COUNT(C8:N8)</f>
        <v>1.0395126508796084</v>
      </c>
      <c r="P8" s="350">
        <f t="shared" si="1"/>
        <v>2.8895738314171342E-2</v>
      </c>
      <c r="Q8" s="606"/>
      <c r="S8" s="517">
        <f t="shared" si="2"/>
        <v>0</v>
      </c>
    </row>
    <row r="9" spans="1:22" x14ac:dyDescent="0.3">
      <c r="A9" s="341"/>
      <c r="B9" s="347" t="s">
        <v>362</v>
      </c>
      <c r="C9" s="348">
        <f>IFERROR(SUM(C78/$C$5),0)</f>
        <v>0</v>
      </c>
      <c r="D9" s="348">
        <f>IFERROR(SUM(D78/$D$5),0)</f>
        <v>0</v>
      </c>
      <c r="E9" s="348">
        <f>IFERROR(SUM(E78/$E$5),0)</f>
        <v>0</v>
      </c>
      <c r="F9" s="348">
        <f>IFERROR(SUM(F78/$F$5),0)</f>
        <v>0</v>
      </c>
      <c r="G9" s="348">
        <f>SUM(G78/$G$5)</f>
        <v>0</v>
      </c>
      <c r="H9" s="348">
        <f>SUM(H78/$H$5)</f>
        <v>0</v>
      </c>
      <c r="I9" s="348">
        <f>SUM(I78/$I$5)</f>
        <v>0</v>
      </c>
      <c r="J9" s="348">
        <f>SUM(J78/$J$5)</f>
        <v>0</v>
      </c>
      <c r="K9" s="348">
        <f>SUM(K78/$K$5)</f>
        <v>0</v>
      </c>
      <c r="L9" s="348">
        <f>SUM(L78/$L$5)</f>
        <v>0</v>
      </c>
      <c r="M9" s="348">
        <f>SUM(M78/$M$5)</f>
        <v>0</v>
      </c>
      <c r="N9" s="516">
        <f>SUM(N78/$N$5)</f>
        <v>0</v>
      </c>
      <c r="O9" s="349">
        <f t="shared" ref="O9:O12" si="3">SUM(C9:N9)/COUNT(C9:N9)</f>
        <v>0</v>
      </c>
      <c r="P9" s="350">
        <f t="shared" si="1"/>
        <v>0</v>
      </c>
      <c r="S9" s="517">
        <f t="shared" si="2"/>
        <v>0</v>
      </c>
    </row>
    <row r="10" spans="1:22" x14ac:dyDescent="0.3">
      <c r="A10" s="341"/>
      <c r="B10" s="347" t="s">
        <v>363</v>
      </c>
      <c r="C10" s="348">
        <f>IFERROR(SUM(C104/$C$5),0)</f>
        <v>10.770788840788843</v>
      </c>
      <c r="D10" s="348">
        <f>IFERROR(SUM(D104/$C$5),0)</f>
        <v>10.495439674350015</v>
      </c>
      <c r="E10" s="348">
        <f>IFERROR(SUM(E104/$C$5),0)</f>
        <v>10.442408538949962</v>
      </c>
      <c r="F10" s="348">
        <f>IFERROR(SUM(F104/$C$5),0)</f>
        <v>10.450216719692696</v>
      </c>
      <c r="G10" s="348">
        <f>SUM(G104/$G$5)</f>
        <v>11.128377982525288</v>
      </c>
      <c r="H10" s="348">
        <f>SUM(H104/H$5)</f>
        <v>11.382889126224319</v>
      </c>
      <c r="I10" s="348">
        <f>SUM(I104/I$5)</f>
        <v>10.145162220464091</v>
      </c>
      <c r="J10" s="348">
        <f t="shared" ref="J10:N10" si="4">SUM(J104/J$5)</f>
        <v>10.652733130887595</v>
      </c>
      <c r="K10" s="348">
        <f t="shared" si="4"/>
        <v>11.318703529889579</v>
      </c>
      <c r="L10" s="348">
        <f t="shared" si="4"/>
        <v>11.069470445624452</v>
      </c>
      <c r="M10" s="348">
        <f t="shared" si="4"/>
        <v>10.840409941816148</v>
      </c>
      <c r="N10" s="348">
        <f t="shared" si="4"/>
        <v>25.569113556286904</v>
      </c>
      <c r="O10" s="349">
        <f t="shared" si="3"/>
        <v>12.022142808958323</v>
      </c>
      <c r="P10" s="350">
        <f t="shared" si="1"/>
        <v>0.33418418937884525</v>
      </c>
      <c r="Q10" s="607">
        <v>2</v>
      </c>
      <c r="S10" s="517">
        <f t="shared" si="2"/>
        <v>0</v>
      </c>
    </row>
    <row r="11" spans="1:22" x14ac:dyDescent="0.3">
      <c r="A11" s="341"/>
      <c r="B11" s="347" t="s">
        <v>692</v>
      </c>
      <c r="C11" s="348">
        <f>IFERROR((C185+C188)/C5,0)</f>
        <v>0</v>
      </c>
      <c r="D11" s="348">
        <f>IFERROR((D185+D188)/D5,0)</f>
        <v>0</v>
      </c>
      <c r="E11" s="348">
        <f>IFERROR((E185+E188)/E5,0)</f>
        <v>0</v>
      </c>
      <c r="F11" s="348">
        <f>IFERROR((F185+F188)/F5,0)</f>
        <v>0</v>
      </c>
      <c r="G11" s="348">
        <f t="shared" ref="G11:N11" si="5">(G185+G188)/G5</f>
        <v>0</v>
      </c>
      <c r="H11" s="348">
        <f t="shared" si="5"/>
        <v>0</v>
      </c>
      <c r="I11" s="348">
        <f t="shared" si="5"/>
        <v>0</v>
      </c>
      <c r="J11" s="348">
        <f t="shared" si="5"/>
        <v>0</v>
      </c>
      <c r="K11" s="348">
        <f t="shared" si="5"/>
        <v>0</v>
      </c>
      <c r="L11" s="348">
        <f t="shared" si="5"/>
        <v>0</v>
      </c>
      <c r="M11" s="348">
        <f t="shared" si="5"/>
        <v>0</v>
      </c>
      <c r="N11" s="348">
        <f t="shared" si="5"/>
        <v>0</v>
      </c>
      <c r="O11" s="349">
        <f t="shared" si="3"/>
        <v>0</v>
      </c>
      <c r="P11" s="350">
        <f t="shared" si="1"/>
        <v>0</v>
      </c>
      <c r="Q11" s="607"/>
      <c r="S11" s="517">
        <f t="shared" si="2"/>
        <v>0</v>
      </c>
    </row>
    <row r="12" spans="1:22" x14ac:dyDescent="0.3">
      <c r="A12" s="341"/>
      <c r="B12" s="520" t="s">
        <v>695</v>
      </c>
      <c r="C12" s="357">
        <f>IFERROR(C203/C5,0)</f>
        <v>0</v>
      </c>
      <c r="D12" s="357">
        <f>IFERROR(D203/D5,0)</f>
        <v>0</v>
      </c>
      <c r="E12" s="357">
        <f>IFERROR(E203/E5,0)</f>
        <v>0</v>
      </c>
      <c r="F12" s="357">
        <f>IFERROR(F203/F5,0)</f>
        <v>0</v>
      </c>
      <c r="G12" s="357">
        <f t="shared" ref="G12:N12" si="6">G203/G5</f>
        <v>0</v>
      </c>
      <c r="H12" s="357">
        <f t="shared" si="6"/>
        <v>0</v>
      </c>
      <c r="I12" s="357">
        <f t="shared" si="6"/>
        <v>0</v>
      </c>
      <c r="J12" s="357">
        <f t="shared" si="6"/>
        <v>0</v>
      </c>
      <c r="K12" s="357">
        <f t="shared" si="6"/>
        <v>0</v>
      </c>
      <c r="L12" s="357">
        <f t="shared" si="6"/>
        <v>0</v>
      </c>
      <c r="M12" s="357">
        <f t="shared" si="6"/>
        <v>0</v>
      </c>
      <c r="N12" s="357">
        <f t="shared" si="6"/>
        <v>0</v>
      </c>
      <c r="O12" s="349">
        <f t="shared" si="3"/>
        <v>0</v>
      </c>
      <c r="P12" s="350">
        <f t="shared" si="1"/>
        <v>0</v>
      </c>
      <c r="Q12" s="607"/>
      <c r="R12" s="351">
        <f>SUM(O10:O11)</f>
        <v>12.022142808958323</v>
      </c>
      <c r="S12" s="517">
        <f t="shared" si="2"/>
        <v>144.26571370749988</v>
      </c>
    </row>
    <row r="13" spans="1:22" ht="21" x14ac:dyDescent="0.4">
      <c r="A13" s="341"/>
      <c r="B13" s="352" t="s">
        <v>337</v>
      </c>
      <c r="C13" s="353">
        <f t="shared" ref="C13:N13" si="7">SUM(C6:C11)</f>
        <v>28.429594946963366</v>
      </c>
      <c r="D13" s="353">
        <f t="shared" si="7"/>
        <v>25.518196785476732</v>
      </c>
      <c r="E13" s="353">
        <f t="shared" si="7"/>
        <v>23.604869526854557</v>
      </c>
      <c r="F13" s="353">
        <f t="shared" si="7"/>
        <v>24.80593543134534</v>
      </c>
      <c r="G13" s="353">
        <f t="shared" si="7"/>
        <v>32.440957027064343</v>
      </c>
      <c r="H13" s="353">
        <f t="shared" si="7"/>
        <v>44.846824052251904</v>
      </c>
      <c r="I13" s="353">
        <f t="shared" si="7"/>
        <v>27.995215325438863</v>
      </c>
      <c r="J13" s="353">
        <f t="shared" si="7"/>
        <v>32.344280642857299</v>
      </c>
      <c r="K13" s="353">
        <f t="shared" si="7"/>
        <v>46.351056706108764</v>
      </c>
      <c r="L13" s="353">
        <f t="shared" si="7"/>
        <v>44.804958165876499</v>
      </c>
      <c r="M13" s="353">
        <f t="shared" si="7"/>
        <v>43.207507192900898</v>
      </c>
      <c r="N13" s="353">
        <f t="shared" si="7"/>
        <v>57.345813882422597</v>
      </c>
      <c r="O13" s="354">
        <f>SUM(O6:O12)</f>
        <v>35.974600807130095</v>
      </c>
      <c r="P13" s="355">
        <f>SUM(P6:P12)</f>
        <v>1</v>
      </c>
      <c r="Q13" s="356">
        <v>3</v>
      </c>
      <c r="R13" s="357">
        <f>SUM(O13)</f>
        <v>35.974600807130095</v>
      </c>
      <c r="S13" s="554">
        <f>R13*12</f>
        <v>431.69520968556117</v>
      </c>
      <c r="T13" s="357"/>
      <c r="U13" t="s">
        <v>726</v>
      </c>
    </row>
    <row r="14" spans="1:22" ht="15" thickBot="1" x14ac:dyDescent="0.35">
      <c r="A14" s="341"/>
      <c r="B14" s="40"/>
      <c r="C14" s="358">
        <f t="shared" ref="C14:N14" si="8">C13/$O$13</f>
        <v>0.79026853138363873</v>
      </c>
      <c r="D14" s="358">
        <f t="shared" si="8"/>
        <v>0.70933926195003327</v>
      </c>
      <c r="E14" s="358">
        <f t="shared" si="8"/>
        <v>0.65615375840879708</v>
      </c>
      <c r="F14" s="358">
        <f t="shared" si="8"/>
        <v>0.68954025548016229</v>
      </c>
      <c r="G14" s="358">
        <f t="shared" si="8"/>
        <v>0.90177392658196254</v>
      </c>
      <c r="H14" s="358">
        <f t="shared" si="8"/>
        <v>1.2466246475586562</v>
      </c>
      <c r="I14" s="358">
        <f t="shared" si="8"/>
        <v>0.77819391174148256</v>
      </c>
      <c r="J14" s="358">
        <f t="shared" si="8"/>
        <v>0.89908657544983028</v>
      </c>
      <c r="K14" s="358">
        <f t="shared" si="8"/>
        <v>1.2884383889236117</v>
      </c>
      <c r="L14" s="358">
        <f t="shared" si="8"/>
        <v>1.2454608851975433</v>
      </c>
      <c r="M14" s="358">
        <f t="shared" si="8"/>
        <v>1.2010559178835212</v>
      </c>
      <c r="N14" s="358">
        <f t="shared" si="8"/>
        <v>1.5940639394407614</v>
      </c>
      <c r="O14" s="359"/>
      <c r="P14" s="360"/>
      <c r="T14" s="357"/>
      <c r="U14" s="517">
        <f>(S13/0.8)/0.75</f>
        <v>719.49201614260198</v>
      </c>
    </row>
    <row r="15" spans="1:22" x14ac:dyDescent="0.3">
      <c r="A15" s="333"/>
      <c r="B15" s="361"/>
      <c r="C15" s="362"/>
      <c r="D15" s="362"/>
      <c r="E15" s="362"/>
      <c r="F15" s="362"/>
      <c r="G15" s="362"/>
      <c r="H15" s="362"/>
      <c r="I15" s="362"/>
      <c r="J15" s="362"/>
      <c r="K15" s="362"/>
      <c r="L15" s="362"/>
      <c r="M15" s="362"/>
      <c r="N15" s="362"/>
      <c r="O15" s="336" t="s">
        <v>364</v>
      </c>
      <c r="P15" s="363" t="s">
        <v>365</v>
      </c>
    </row>
    <row r="16" spans="1:22" ht="15" thickBot="1" x14ac:dyDescent="0.35">
      <c r="A16" s="337" t="s">
        <v>366</v>
      </c>
      <c r="B16" s="364" t="s">
        <v>292</v>
      </c>
      <c r="C16" s="340"/>
      <c r="D16" s="340"/>
      <c r="E16" s="340"/>
      <c r="F16" s="340"/>
      <c r="G16" s="340"/>
      <c r="H16" s="340"/>
      <c r="I16" s="340"/>
      <c r="J16" s="340"/>
      <c r="K16" s="340"/>
      <c r="L16" s="340"/>
      <c r="M16" s="340"/>
      <c r="N16" s="340"/>
      <c r="O16" s="340" t="s">
        <v>357</v>
      </c>
      <c r="P16" s="365" t="s">
        <v>357</v>
      </c>
    </row>
    <row r="17" spans="1:21" ht="18" customHeight="1" x14ac:dyDescent="0.3">
      <c r="A17" s="366"/>
      <c r="B17" s="367" t="s">
        <v>31</v>
      </c>
      <c r="C17" s="368">
        <f>SUM(C18:C23)</f>
        <v>0</v>
      </c>
      <c r="D17" s="368">
        <f t="shared" ref="D17:O17" si="9">SUM(D18:D23)</f>
        <v>0</v>
      </c>
      <c r="E17" s="368">
        <f t="shared" si="9"/>
        <v>0</v>
      </c>
      <c r="F17" s="368">
        <f t="shared" si="9"/>
        <v>0</v>
      </c>
      <c r="G17" s="368">
        <f t="shared" si="9"/>
        <v>12408.000000000002</v>
      </c>
      <c r="H17" s="368">
        <f t="shared" si="9"/>
        <v>0</v>
      </c>
      <c r="I17" s="368">
        <f t="shared" si="9"/>
        <v>0</v>
      </c>
      <c r="J17" s="368">
        <f t="shared" si="9"/>
        <v>8800</v>
      </c>
      <c r="K17" s="368">
        <f t="shared" si="9"/>
        <v>11340</v>
      </c>
      <c r="L17" s="368">
        <f t="shared" si="9"/>
        <v>0</v>
      </c>
      <c r="M17" s="368">
        <f t="shared" si="9"/>
        <v>0</v>
      </c>
      <c r="N17" s="368">
        <f t="shared" si="9"/>
        <v>11725</v>
      </c>
      <c r="O17" s="368">
        <f t="shared" si="9"/>
        <v>44273</v>
      </c>
      <c r="P17" s="369">
        <f>IFERROR(SUM(P18:P23),0)</f>
        <v>1</v>
      </c>
    </row>
    <row r="18" spans="1:21" x14ac:dyDescent="0.3">
      <c r="A18" s="370" t="s">
        <v>33</v>
      </c>
      <c r="B18" s="371" t="s">
        <v>34</v>
      </c>
      <c r="C18" s="372"/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372"/>
      <c r="O18" s="373">
        <f t="shared" ref="O18:O23" si="10">SUM(C18:N18)</f>
        <v>0</v>
      </c>
      <c r="P18" s="374">
        <f>IFERROR(SUM(O18/$O$17),0)</f>
        <v>0</v>
      </c>
    </row>
    <row r="19" spans="1:21" x14ac:dyDescent="0.3">
      <c r="A19" s="375" t="s">
        <v>50</v>
      </c>
      <c r="B19" s="376" t="s">
        <v>37</v>
      </c>
      <c r="C19" s="377">
        <f>'REVENUE ASSUMPTIONS'!G8</f>
        <v>0</v>
      </c>
      <c r="D19" s="377">
        <f>'REVENUE ASSUMPTIONS'!H8</f>
        <v>0</v>
      </c>
      <c r="E19" s="377">
        <f>'REVENUE ASSUMPTIONS'!I8</f>
        <v>0</v>
      </c>
      <c r="F19" s="377">
        <f>'REVENUE ASSUMPTIONS'!J8</f>
        <v>0</v>
      </c>
      <c r="G19" s="377">
        <f>'REVENUE ASSUMPTIONS'!K8</f>
        <v>12408.000000000002</v>
      </c>
      <c r="H19" s="377">
        <f>'REVENUE ASSUMPTIONS'!L8</f>
        <v>0</v>
      </c>
      <c r="I19" s="377">
        <f>'REVENUE ASSUMPTIONS'!M8</f>
        <v>0</v>
      </c>
      <c r="J19" s="377">
        <f>'REVENUE ASSUMPTIONS'!N8</f>
        <v>8800</v>
      </c>
      <c r="K19" s="377">
        <f>'REVENUE ASSUMPTIONS'!O8</f>
        <v>11340</v>
      </c>
      <c r="L19" s="377">
        <f>'REVENUE ASSUMPTIONS'!P8</f>
        <v>0</v>
      </c>
      <c r="M19" s="377">
        <f>'REVENUE ASSUMPTIONS'!Q8</f>
        <v>0</v>
      </c>
      <c r="N19" s="377">
        <f>'REVENUE ASSUMPTIONS'!R8</f>
        <v>11725</v>
      </c>
      <c r="O19" s="378">
        <f t="shared" si="10"/>
        <v>44273</v>
      </c>
      <c r="P19" s="379">
        <f>IFERROR(SUM(O19/$O$17),0)</f>
        <v>1</v>
      </c>
    </row>
    <row r="20" spans="1:21" x14ac:dyDescent="0.3">
      <c r="A20" s="375" t="s">
        <v>38</v>
      </c>
      <c r="B20" s="376" t="s">
        <v>39</v>
      </c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78">
        <f t="shared" si="10"/>
        <v>0</v>
      </c>
      <c r="P20" s="379">
        <f>IFERROR(SUM(O20/$O$17),0)</f>
        <v>0</v>
      </c>
    </row>
    <row r="21" spans="1:21" x14ac:dyDescent="0.3">
      <c r="A21" s="375" t="s">
        <v>41</v>
      </c>
      <c r="B21" s="376" t="s">
        <v>42</v>
      </c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78">
        <f t="shared" si="10"/>
        <v>0</v>
      </c>
      <c r="P21" s="379">
        <f>IFERROR(SUM(O21/$O$17),0)</f>
        <v>0</v>
      </c>
    </row>
    <row r="22" spans="1:21" x14ac:dyDescent="0.3">
      <c r="A22" s="375"/>
      <c r="B22" s="376"/>
      <c r="C22" s="380"/>
      <c r="D22" s="380"/>
      <c r="E22" s="380"/>
      <c r="F22" s="380"/>
      <c r="G22" s="380"/>
      <c r="H22" s="380"/>
      <c r="I22" s="380"/>
      <c r="J22" s="380"/>
      <c r="K22" s="380"/>
      <c r="L22" s="380"/>
      <c r="M22" s="380"/>
      <c r="N22" s="380"/>
      <c r="O22" s="378"/>
      <c r="P22" s="379"/>
    </row>
    <row r="23" spans="1:21" x14ac:dyDescent="0.3">
      <c r="A23" s="381" t="s">
        <v>44</v>
      </c>
      <c r="B23" s="382" t="s">
        <v>45</v>
      </c>
      <c r="C23" s="383"/>
      <c r="D23" s="383"/>
      <c r="E23" s="383"/>
      <c r="F23" s="383"/>
      <c r="G23" s="383"/>
      <c r="H23" s="383"/>
      <c r="I23" s="383"/>
      <c r="J23" s="383"/>
      <c r="K23" s="383"/>
      <c r="L23" s="383"/>
      <c r="M23" s="383"/>
      <c r="N23" s="383"/>
      <c r="O23" s="384">
        <f t="shared" si="10"/>
        <v>0</v>
      </c>
      <c r="P23" s="385">
        <f>IFERROR(SUM(O23/$O$17),0)</f>
        <v>0</v>
      </c>
    </row>
    <row r="24" spans="1:21" x14ac:dyDescent="0.3">
      <c r="A24" s="31"/>
      <c r="B24" s="600" t="s">
        <v>735</v>
      </c>
      <c r="C24" s="386">
        <v>10000</v>
      </c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7"/>
      <c r="P24" s="65"/>
    </row>
    <row r="25" spans="1:21" x14ac:dyDescent="0.3">
      <c r="A25" s="507"/>
      <c r="B25" s="508" t="s">
        <v>679</v>
      </c>
      <c r="C25" s="509">
        <f>C24+C17-(C28+C34+C69+C78+C104+C152)</f>
        <v>7192.5064249999996</v>
      </c>
      <c r="D25" s="509">
        <f>C25+D17-(D28+D34+D69+D78+D104+D152)</f>
        <v>4676.2295339962493</v>
      </c>
      <c r="E25" s="509">
        <f t="shared" ref="E25:N25" si="11">D25+E17-(E28+E34+E69+E78+E104+E152)</f>
        <v>2351.6806617770308</v>
      </c>
      <c r="F25" s="509">
        <f t="shared" si="11"/>
        <v>-87.36156259872223</v>
      </c>
      <c r="G25" s="509">
        <f t="shared" si="11"/>
        <v>9460.362336275206</v>
      </c>
      <c r="H25" s="509">
        <f t="shared" si="11"/>
        <v>5516.1626262082445</v>
      </c>
      <c r="I25" s="509">
        <f t="shared" si="11"/>
        <v>2441.236186562679</v>
      </c>
      <c r="J25" s="509">
        <f t="shared" si="11"/>
        <v>8053.2876081831109</v>
      </c>
      <c r="K25" s="509">
        <f t="shared" si="11"/>
        <v>15230.194714776202</v>
      </c>
      <c r="L25" s="509">
        <f t="shared" si="11"/>
        <v>10995.758121355908</v>
      </c>
      <c r="M25" s="509">
        <f t="shared" si="11"/>
        <v>6710.0862593418497</v>
      </c>
      <c r="N25" s="509">
        <f t="shared" si="11"/>
        <v>12880.780223043243</v>
      </c>
      <c r="O25" s="510"/>
      <c r="P25" s="511"/>
    </row>
    <row r="26" spans="1:21" x14ac:dyDescent="0.3">
      <c r="A26" s="31"/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7"/>
      <c r="P26" s="65"/>
    </row>
    <row r="27" spans="1:21" x14ac:dyDescent="0.3">
      <c r="A27" s="341" t="s">
        <v>366</v>
      </c>
      <c r="B27" s="341" t="s">
        <v>292</v>
      </c>
      <c r="C27" s="512">
        <f>C28+C34+C69+C78+C104+C152</f>
        <v>2807.4935750000004</v>
      </c>
      <c r="D27" s="512">
        <f t="shared" ref="D27:N27" si="12">D28+D34+D69+D78+D104+D152</f>
        <v>2516.2768910037503</v>
      </c>
      <c r="E27" s="512">
        <f t="shared" si="12"/>
        <v>2324.5488722192185</v>
      </c>
      <c r="F27" s="512">
        <f t="shared" si="12"/>
        <v>2439.042224375753</v>
      </c>
      <c r="G27" s="512">
        <f t="shared" si="12"/>
        <v>2860.2761011260741</v>
      </c>
      <c r="H27" s="512">
        <f t="shared" si="12"/>
        <v>3944.1997100669619</v>
      </c>
      <c r="I27" s="512">
        <f t="shared" si="12"/>
        <v>3074.9264396455656</v>
      </c>
      <c r="J27" s="512">
        <f t="shared" si="12"/>
        <v>3187.9485783795681</v>
      </c>
      <c r="K27" s="512">
        <f t="shared" si="12"/>
        <v>4163.0928934069107</v>
      </c>
      <c r="L27" s="512">
        <f t="shared" si="12"/>
        <v>4234.4365934202942</v>
      </c>
      <c r="M27" s="512">
        <f t="shared" si="12"/>
        <v>4285.6718620140582</v>
      </c>
      <c r="N27" s="512">
        <f t="shared" si="12"/>
        <v>5554.306036298608</v>
      </c>
      <c r="O27" s="388">
        <f>SUM(O28+O34+O69+O78+O104+O152)</f>
        <v>41392.219776956757</v>
      </c>
      <c r="P27" s="389">
        <f>SUM(P28+P34+P69+P78+P104+P152)</f>
        <v>1</v>
      </c>
    </row>
    <row r="28" spans="1:21" ht="18" customHeight="1" x14ac:dyDescent="0.3">
      <c r="A28" s="390" t="s">
        <v>48</v>
      </c>
      <c r="B28" s="391" t="s">
        <v>49</v>
      </c>
      <c r="C28" s="392">
        <f>SUM(C29:C33)</f>
        <v>0</v>
      </c>
      <c r="D28" s="392">
        <f t="shared" ref="D28:N28" si="13">SUM(D29:D33)</f>
        <v>0</v>
      </c>
      <c r="E28" s="392">
        <f t="shared" si="13"/>
        <v>0</v>
      </c>
      <c r="F28" s="392">
        <f t="shared" si="13"/>
        <v>0</v>
      </c>
      <c r="G28" s="392">
        <f t="shared" si="13"/>
        <v>620.40000000000009</v>
      </c>
      <c r="H28" s="392">
        <f t="shared" si="13"/>
        <v>0</v>
      </c>
      <c r="I28" s="392">
        <f t="shared" si="13"/>
        <v>0</v>
      </c>
      <c r="J28" s="392">
        <f t="shared" si="13"/>
        <v>440</v>
      </c>
      <c r="K28" s="392">
        <f t="shared" si="13"/>
        <v>567</v>
      </c>
      <c r="L28" s="392">
        <f t="shared" si="13"/>
        <v>0</v>
      </c>
      <c r="M28" s="392">
        <f t="shared" si="13"/>
        <v>0</v>
      </c>
      <c r="N28" s="392">
        <f t="shared" si="13"/>
        <v>586.25</v>
      </c>
      <c r="O28" s="393">
        <f>SUM(C28:N28)</f>
        <v>2213.65</v>
      </c>
      <c r="P28" s="394">
        <f>SUM(O28/O27)</f>
        <v>5.3479857130840552E-2</v>
      </c>
      <c r="R28" s="521">
        <f>IFERROR(AVERAGE(C28:N28)/AVERAGE($C$5:$N$5),"")</f>
        <v>1.910925219770039</v>
      </c>
      <c r="U28" s="522"/>
    </row>
    <row r="29" spans="1:21" hidden="1" outlineLevel="1" x14ac:dyDescent="0.3">
      <c r="A29" s="395" t="s">
        <v>50</v>
      </c>
      <c r="B29" s="396" t="s">
        <v>52</v>
      </c>
      <c r="C29" s="397"/>
      <c r="D29" s="397"/>
      <c r="E29" s="397"/>
      <c r="F29" s="397"/>
      <c r="G29" s="397"/>
      <c r="H29" s="397"/>
      <c r="I29" s="397"/>
      <c r="J29" s="397"/>
      <c r="K29" s="397"/>
      <c r="L29" s="397"/>
      <c r="M29" s="397"/>
      <c r="N29" s="397"/>
      <c r="O29" s="387">
        <f t="shared" ref="O29:O95" si="14">SUM(C29:N29)</f>
        <v>0</v>
      </c>
      <c r="P29" s="398">
        <f>SUM(O29/$O$27)</f>
        <v>0</v>
      </c>
      <c r="R29" s="521" t="str">
        <f t="shared" ref="R29:R92" si="15">IFERROR(AVERAGE(C29:N29)/AVERAGE($C$5:$N$5),"")</f>
        <v/>
      </c>
    </row>
    <row r="30" spans="1:21" hidden="1" outlineLevel="1" x14ac:dyDescent="0.3">
      <c r="A30" s="395" t="s">
        <v>53</v>
      </c>
      <c r="B30" s="396" t="s">
        <v>54</v>
      </c>
      <c r="C30" s="397"/>
      <c r="D30" s="397"/>
      <c r="E30" s="397"/>
      <c r="F30" s="397"/>
      <c r="G30" s="397"/>
      <c r="H30" s="397"/>
      <c r="I30" s="397"/>
      <c r="J30" s="397"/>
      <c r="K30" s="397"/>
      <c r="L30" s="397"/>
      <c r="M30" s="397"/>
      <c r="N30" s="397"/>
      <c r="O30" s="387">
        <f t="shared" si="14"/>
        <v>0</v>
      </c>
      <c r="P30" s="398">
        <f t="shared" ref="P30:P33" si="16">SUM(O30/$O$27)</f>
        <v>0</v>
      </c>
      <c r="R30" s="521" t="str">
        <f t="shared" si="15"/>
        <v/>
      </c>
    </row>
    <row r="31" spans="1:21" hidden="1" outlineLevel="1" x14ac:dyDescent="0.3">
      <c r="A31" s="395" t="s">
        <v>55</v>
      </c>
      <c r="B31" s="396" t="s">
        <v>57</v>
      </c>
      <c r="C31" s="427">
        <f>2%*C19</f>
        <v>0</v>
      </c>
      <c r="D31" s="427">
        <f t="shared" ref="D31:N31" si="17">2%*D19</f>
        <v>0</v>
      </c>
      <c r="E31" s="427">
        <f t="shared" si="17"/>
        <v>0</v>
      </c>
      <c r="F31" s="427">
        <f t="shared" si="17"/>
        <v>0</v>
      </c>
      <c r="G31" s="427">
        <f t="shared" si="17"/>
        <v>248.16000000000005</v>
      </c>
      <c r="H31" s="427">
        <f t="shared" si="17"/>
        <v>0</v>
      </c>
      <c r="I31" s="427">
        <f t="shared" si="17"/>
        <v>0</v>
      </c>
      <c r="J31" s="427">
        <f t="shared" si="17"/>
        <v>176</v>
      </c>
      <c r="K31" s="427">
        <f t="shared" si="17"/>
        <v>226.8</v>
      </c>
      <c r="L31" s="427">
        <f t="shared" si="17"/>
        <v>0</v>
      </c>
      <c r="M31" s="427">
        <f t="shared" si="17"/>
        <v>0</v>
      </c>
      <c r="N31" s="427">
        <f t="shared" si="17"/>
        <v>234.5</v>
      </c>
      <c r="O31" s="387">
        <f t="shared" si="14"/>
        <v>885.46</v>
      </c>
      <c r="P31" s="398">
        <f t="shared" si="16"/>
        <v>2.139194285233622E-2</v>
      </c>
      <c r="R31" s="521">
        <f t="shared" si="15"/>
        <v>0.76437008790801564</v>
      </c>
    </row>
    <row r="32" spans="1:21" hidden="1" outlineLevel="1" x14ac:dyDescent="0.3">
      <c r="A32" s="395" t="s">
        <v>58</v>
      </c>
      <c r="B32" s="396" t="s">
        <v>59</v>
      </c>
      <c r="C32" s="397"/>
      <c r="D32" s="397"/>
      <c r="E32" s="397"/>
      <c r="F32" s="397"/>
      <c r="G32" s="397"/>
      <c r="H32" s="397"/>
      <c r="I32" s="397"/>
      <c r="J32" s="397"/>
      <c r="K32" s="397"/>
      <c r="L32" s="397"/>
      <c r="M32" s="397"/>
      <c r="N32" s="397"/>
      <c r="O32" s="387">
        <f t="shared" si="14"/>
        <v>0</v>
      </c>
      <c r="P32" s="398">
        <f t="shared" si="16"/>
        <v>0</v>
      </c>
      <c r="R32" s="521" t="str">
        <f t="shared" si="15"/>
        <v/>
      </c>
    </row>
    <row r="33" spans="1:18" hidden="1" outlineLevel="1" x14ac:dyDescent="0.3">
      <c r="A33" s="399" t="s">
        <v>60</v>
      </c>
      <c r="B33" s="400" t="s">
        <v>61</v>
      </c>
      <c r="C33" s="463">
        <f>3%*C19</f>
        <v>0</v>
      </c>
      <c r="D33" s="463">
        <f t="shared" ref="D33:N33" si="18">3%*D19</f>
        <v>0</v>
      </c>
      <c r="E33" s="463">
        <f t="shared" si="18"/>
        <v>0</v>
      </c>
      <c r="F33" s="463">
        <f t="shared" si="18"/>
        <v>0</v>
      </c>
      <c r="G33" s="463">
        <f t="shared" si="18"/>
        <v>372.24000000000007</v>
      </c>
      <c r="H33" s="463">
        <f t="shared" si="18"/>
        <v>0</v>
      </c>
      <c r="I33" s="463">
        <f t="shared" si="18"/>
        <v>0</v>
      </c>
      <c r="J33" s="463">
        <f t="shared" si="18"/>
        <v>264</v>
      </c>
      <c r="K33" s="463">
        <f t="shared" si="18"/>
        <v>340.2</v>
      </c>
      <c r="L33" s="463">
        <f t="shared" si="18"/>
        <v>0</v>
      </c>
      <c r="M33" s="463">
        <f t="shared" si="18"/>
        <v>0</v>
      </c>
      <c r="N33" s="463">
        <f t="shared" si="18"/>
        <v>351.75</v>
      </c>
      <c r="O33" s="402">
        <f t="shared" si="14"/>
        <v>1328.19</v>
      </c>
      <c r="P33" s="398">
        <f t="shared" si="16"/>
        <v>3.2087914278504333E-2</v>
      </c>
      <c r="R33" s="521">
        <f t="shared" si="15"/>
        <v>1.1465551318620235</v>
      </c>
    </row>
    <row r="34" spans="1:18" ht="18" customHeight="1" collapsed="1" x14ac:dyDescent="0.3">
      <c r="A34" s="403" t="s">
        <v>62</v>
      </c>
      <c r="B34" s="404" t="s">
        <v>367</v>
      </c>
      <c r="C34" s="392">
        <f>SUM(C35+C44+C48+C54+C58)</f>
        <v>1643.8512499999999</v>
      </c>
      <c r="D34" s="392">
        <f t="shared" ref="D34:N34" si="19">SUM(D35+D44+D48+D54+D58)</f>
        <v>1379.8259845625</v>
      </c>
      <c r="E34" s="392">
        <f t="shared" si="19"/>
        <v>1193.3349229765624</v>
      </c>
      <c r="F34" s="392">
        <f t="shared" si="19"/>
        <v>1307.0571977642996</v>
      </c>
      <c r="G34" s="392">
        <f t="shared" si="19"/>
        <v>1158.7017923299481</v>
      </c>
      <c r="H34" s="392">
        <f t="shared" si="19"/>
        <v>2843.0945272547146</v>
      </c>
      <c r="I34" s="392">
        <f t="shared" si="19"/>
        <v>1860.6064680520158</v>
      </c>
      <c r="J34" s="392">
        <f t="shared" si="19"/>
        <v>1597.9834913381399</v>
      </c>
      <c r="K34" s="392">
        <f t="shared" si="19"/>
        <v>2479.4857742502763</v>
      </c>
      <c r="L34" s="392">
        <f t="shared" si="19"/>
        <v>3088.2807070292401</v>
      </c>
      <c r="M34" s="392">
        <f t="shared" si="19"/>
        <v>3110.4318660354857</v>
      </c>
      <c r="N34" s="392">
        <f t="shared" si="19"/>
        <v>2391.5251066012288</v>
      </c>
      <c r="O34" s="393">
        <f t="shared" si="14"/>
        <v>24054.179088194411</v>
      </c>
      <c r="P34" s="405">
        <f>SUM(O34/O27)</f>
        <v>0.5811280288375712</v>
      </c>
      <c r="R34" s="521">
        <f t="shared" si="15"/>
        <v>20.764681616558978</v>
      </c>
    </row>
    <row r="35" spans="1:18" hidden="1" outlineLevel="1" x14ac:dyDescent="0.3">
      <c r="A35" s="406" t="s">
        <v>62</v>
      </c>
      <c r="B35" s="407" t="s">
        <v>63</v>
      </c>
      <c r="C35" s="408">
        <f>SUM(C36:C43)</f>
        <v>0</v>
      </c>
      <c r="D35" s="408">
        <f t="shared" ref="D35:N35" si="20">SUM(D36:D43)</f>
        <v>0</v>
      </c>
      <c r="E35" s="408">
        <f t="shared" si="20"/>
        <v>0</v>
      </c>
      <c r="F35" s="408">
        <f t="shared" si="20"/>
        <v>0</v>
      </c>
      <c r="G35" s="408">
        <f t="shared" si="20"/>
        <v>0</v>
      </c>
      <c r="H35" s="408">
        <f t="shared" si="20"/>
        <v>0</v>
      </c>
      <c r="I35" s="408">
        <f t="shared" si="20"/>
        <v>0</v>
      </c>
      <c r="J35" s="408">
        <f t="shared" si="20"/>
        <v>0</v>
      </c>
      <c r="K35" s="408">
        <f t="shared" si="20"/>
        <v>0</v>
      </c>
      <c r="L35" s="408">
        <f t="shared" si="20"/>
        <v>0</v>
      </c>
      <c r="M35" s="408">
        <f t="shared" si="20"/>
        <v>0</v>
      </c>
      <c r="N35" s="408">
        <f t="shared" si="20"/>
        <v>0</v>
      </c>
      <c r="O35" s="409">
        <f t="shared" si="14"/>
        <v>0</v>
      </c>
      <c r="P35" s="410"/>
      <c r="R35" s="521">
        <f t="shared" si="15"/>
        <v>0</v>
      </c>
    </row>
    <row r="36" spans="1:18" hidden="1" outlineLevel="1" x14ac:dyDescent="0.3">
      <c r="A36" s="411" t="s">
        <v>64</v>
      </c>
      <c r="B36" s="396" t="s">
        <v>66</v>
      </c>
      <c r="C36" s="397"/>
      <c r="D36" s="397"/>
      <c r="E36" s="397"/>
      <c r="F36" s="397"/>
      <c r="G36" s="397"/>
      <c r="H36" s="397"/>
      <c r="I36" s="397"/>
      <c r="J36" s="397"/>
      <c r="K36" s="397"/>
      <c r="L36" s="397"/>
      <c r="M36" s="397"/>
      <c r="N36" s="397"/>
      <c r="O36" s="387">
        <f t="shared" si="14"/>
        <v>0</v>
      </c>
      <c r="P36" s="398">
        <f t="shared" ref="P36:P77" si="21">SUM(O36/$O$27)</f>
        <v>0</v>
      </c>
      <c r="R36" s="521" t="str">
        <f t="shared" si="15"/>
        <v/>
      </c>
    </row>
    <row r="37" spans="1:18" hidden="1" outlineLevel="1" x14ac:dyDescent="0.3">
      <c r="A37" s="411" t="s">
        <v>123</v>
      </c>
      <c r="B37" s="396" t="s">
        <v>124</v>
      </c>
      <c r="C37" s="397"/>
      <c r="D37" s="397"/>
      <c r="E37" s="397"/>
      <c r="F37" s="397"/>
      <c r="G37" s="397"/>
      <c r="H37" s="397"/>
      <c r="I37" s="397"/>
      <c r="J37" s="397"/>
      <c r="K37" s="397"/>
      <c r="L37" s="397"/>
      <c r="M37" s="397"/>
      <c r="N37" s="397"/>
      <c r="O37" s="387">
        <f t="shared" si="14"/>
        <v>0</v>
      </c>
      <c r="P37" s="398">
        <f t="shared" si="21"/>
        <v>0</v>
      </c>
      <c r="R37" s="521" t="str">
        <f t="shared" si="15"/>
        <v/>
      </c>
    </row>
    <row r="38" spans="1:18" hidden="1" outlineLevel="1" x14ac:dyDescent="0.3">
      <c r="A38" s="411" t="s">
        <v>67</v>
      </c>
      <c r="B38" s="396" t="s">
        <v>68</v>
      </c>
      <c r="C38" s="397"/>
      <c r="D38" s="397"/>
      <c r="E38" s="397"/>
      <c r="F38" s="397"/>
      <c r="G38" s="397"/>
      <c r="H38" s="397"/>
      <c r="I38" s="397"/>
      <c r="J38" s="397"/>
      <c r="K38" s="397"/>
      <c r="L38" s="397"/>
      <c r="M38" s="397"/>
      <c r="N38" s="397"/>
      <c r="O38" s="387">
        <f t="shared" si="14"/>
        <v>0</v>
      </c>
      <c r="P38" s="398">
        <f t="shared" si="21"/>
        <v>0</v>
      </c>
      <c r="R38" s="521" t="str">
        <f t="shared" si="15"/>
        <v/>
      </c>
    </row>
    <row r="39" spans="1:18" hidden="1" outlineLevel="1" x14ac:dyDescent="0.3">
      <c r="A39" s="411" t="s">
        <v>69</v>
      </c>
      <c r="B39" s="396" t="s">
        <v>70</v>
      </c>
      <c r="C39" s="397"/>
      <c r="D39" s="397"/>
      <c r="E39" s="397"/>
      <c r="F39" s="397"/>
      <c r="G39" s="397"/>
      <c r="H39" s="397"/>
      <c r="I39" s="397"/>
      <c r="J39" s="397"/>
      <c r="K39" s="397"/>
      <c r="L39" s="397"/>
      <c r="M39" s="397"/>
      <c r="N39" s="397"/>
      <c r="O39" s="387">
        <f t="shared" si="14"/>
        <v>0</v>
      </c>
      <c r="P39" s="398">
        <f t="shared" si="21"/>
        <v>0</v>
      </c>
      <c r="R39" s="521" t="str">
        <f t="shared" si="15"/>
        <v/>
      </c>
    </row>
    <row r="40" spans="1:18" hidden="1" outlineLevel="1" x14ac:dyDescent="0.3">
      <c r="A40" s="411" t="s">
        <v>71</v>
      </c>
      <c r="B40" s="396" t="s">
        <v>72</v>
      </c>
      <c r="C40" s="412"/>
      <c r="D40" s="397"/>
      <c r="E40" s="397"/>
      <c r="F40" s="397"/>
      <c r="G40" s="397"/>
      <c r="H40" s="397"/>
      <c r="I40" s="397"/>
      <c r="J40" s="397"/>
      <c r="K40" s="397"/>
      <c r="L40" s="397"/>
      <c r="M40" s="397"/>
      <c r="N40" s="397"/>
      <c r="O40" s="387">
        <f t="shared" si="14"/>
        <v>0</v>
      </c>
      <c r="P40" s="398">
        <f t="shared" si="21"/>
        <v>0</v>
      </c>
      <c r="R40" s="521" t="str">
        <f t="shared" si="15"/>
        <v/>
      </c>
    </row>
    <row r="41" spans="1:18" hidden="1" outlineLevel="1" x14ac:dyDescent="0.3">
      <c r="A41" s="411" t="s">
        <v>84</v>
      </c>
      <c r="B41" s="396" t="s">
        <v>85</v>
      </c>
      <c r="C41" s="413"/>
      <c r="D41" s="397"/>
      <c r="E41" s="397"/>
      <c r="F41" s="397"/>
      <c r="G41" s="397"/>
      <c r="H41" s="397"/>
      <c r="I41" s="397"/>
      <c r="J41" s="397"/>
      <c r="K41" s="397"/>
      <c r="L41" s="397"/>
      <c r="M41" s="397"/>
      <c r="N41" s="397"/>
      <c r="O41" s="387">
        <f t="shared" si="14"/>
        <v>0</v>
      </c>
      <c r="P41" s="398">
        <f t="shared" si="21"/>
        <v>0</v>
      </c>
      <c r="R41" s="521" t="str">
        <f t="shared" si="15"/>
        <v/>
      </c>
    </row>
    <row r="42" spans="1:18" hidden="1" outlineLevel="1" x14ac:dyDescent="0.3">
      <c r="A42" s="411" t="s">
        <v>73</v>
      </c>
      <c r="B42" s="396" t="s">
        <v>74</v>
      </c>
      <c r="C42" s="413"/>
      <c r="D42" s="397"/>
      <c r="E42" s="397"/>
      <c r="F42" s="397"/>
      <c r="G42" s="397"/>
      <c r="H42" s="397"/>
      <c r="I42" s="397"/>
      <c r="J42" s="397"/>
      <c r="K42" s="397"/>
      <c r="L42" s="397"/>
      <c r="M42" s="397"/>
      <c r="N42" s="397"/>
      <c r="O42" s="387">
        <f t="shared" si="14"/>
        <v>0</v>
      </c>
      <c r="P42" s="398">
        <f t="shared" si="21"/>
        <v>0</v>
      </c>
      <c r="R42" s="521" t="str">
        <f t="shared" si="15"/>
        <v/>
      </c>
    </row>
    <row r="43" spans="1:18" hidden="1" outlineLevel="1" x14ac:dyDescent="0.3">
      <c r="A43" s="411" t="s">
        <v>75</v>
      </c>
      <c r="B43" s="396" t="s">
        <v>77</v>
      </c>
      <c r="C43" s="413"/>
      <c r="D43" s="397"/>
      <c r="E43" s="397"/>
      <c r="F43" s="397"/>
      <c r="G43" s="397"/>
      <c r="H43" s="397"/>
      <c r="I43" s="397"/>
      <c r="J43" s="397"/>
      <c r="K43" s="397"/>
      <c r="L43" s="397"/>
      <c r="M43" s="397"/>
      <c r="N43" s="397"/>
      <c r="O43" s="387">
        <f t="shared" si="14"/>
        <v>0</v>
      </c>
      <c r="P43" s="398">
        <f t="shared" si="21"/>
        <v>0</v>
      </c>
      <c r="R43" s="521" t="str">
        <f t="shared" si="15"/>
        <v/>
      </c>
    </row>
    <row r="44" spans="1:18" hidden="1" outlineLevel="1" x14ac:dyDescent="0.3">
      <c r="A44" s="406" t="s">
        <v>368</v>
      </c>
      <c r="B44" s="407" t="s">
        <v>95</v>
      </c>
      <c r="C44" s="414">
        <f>SUM(C45:C47)</f>
        <v>20</v>
      </c>
      <c r="D44" s="414">
        <f t="shared" ref="D44:N44" si="22">SUM(D45:D47)</f>
        <v>20</v>
      </c>
      <c r="E44" s="414">
        <f t="shared" si="22"/>
        <v>20</v>
      </c>
      <c r="F44" s="414">
        <f t="shared" si="22"/>
        <v>20</v>
      </c>
      <c r="G44" s="414">
        <f t="shared" si="22"/>
        <v>20</v>
      </c>
      <c r="H44" s="414">
        <f t="shared" si="22"/>
        <v>20</v>
      </c>
      <c r="I44" s="414">
        <f t="shared" si="22"/>
        <v>20</v>
      </c>
      <c r="J44" s="414">
        <f t="shared" si="22"/>
        <v>20</v>
      </c>
      <c r="K44" s="414">
        <f t="shared" si="22"/>
        <v>20</v>
      </c>
      <c r="L44" s="414">
        <f t="shared" si="22"/>
        <v>20</v>
      </c>
      <c r="M44" s="414">
        <f t="shared" si="22"/>
        <v>20</v>
      </c>
      <c r="N44" s="414">
        <f t="shared" si="22"/>
        <v>20</v>
      </c>
      <c r="O44" s="409">
        <f>SUM(C44:N44)</f>
        <v>240</v>
      </c>
      <c r="P44" s="410">
        <f>O44/O27</f>
        <v>5.7981910922692073E-3</v>
      </c>
      <c r="R44" s="521">
        <f t="shared" si="15"/>
        <v>0.20717911717968485</v>
      </c>
    </row>
    <row r="45" spans="1:18" hidden="1" outlineLevel="1" x14ac:dyDescent="0.3">
      <c r="A45" s="411" t="s">
        <v>369</v>
      </c>
      <c r="B45" s="396" t="s">
        <v>98</v>
      </c>
      <c r="C45" s="415"/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387">
        <f t="shared" si="14"/>
        <v>0</v>
      </c>
      <c r="P45" s="398">
        <f t="shared" si="21"/>
        <v>0</v>
      </c>
      <c r="R45" s="521" t="str">
        <f t="shared" si="15"/>
        <v/>
      </c>
    </row>
    <row r="46" spans="1:18" hidden="1" outlineLevel="1" x14ac:dyDescent="0.3">
      <c r="A46" s="411" t="s">
        <v>370</v>
      </c>
      <c r="B46" s="396" t="s">
        <v>100</v>
      </c>
      <c r="C46" s="415">
        <v>20</v>
      </c>
      <c r="D46" s="415">
        <v>20</v>
      </c>
      <c r="E46" s="415">
        <v>20</v>
      </c>
      <c r="F46" s="415">
        <v>20</v>
      </c>
      <c r="G46" s="415">
        <v>20</v>
      </c>
      <c r="H46" s="415">
        <v>20</v>
      </c>
      <c r="I46" s="415">
        <v>20</v>
      </c>
      <c r="J46" s="415">
        <v>20</v>
      </c>
      <c r="K46" s="415">
        <v>20</v>
      </c>
      <c r="L46" s="415">
        <v>20</v>
      </c>
      <c r="M46" s="415">
        <v>20</v>
      </c>
      <c r="N46" s="415">
        <v>20</v>
      </c>
      <c r="O46" s="387">
        <f t="shared" si="14"/>
        <v>240</v>
      </c>
      <c r="P46" s="398">
        <f t="shared" si="21"/>
        <v>5.7981910922692073E-3</v>
      </c>
      <c r="R46" s="521">
        <f t="shared" si="15"/>
        <v>0.20717911717968485</v>
      </c>
    </row>
    <row r="47" spans="1:18" hidden="1" outlineLevel="1" x14ac:dyDescent="0.3">
      <c r="A47" s="411" t="s">
        <v>371</v>
      </c>
      <c r="B47" s="396" t="s">
        <v>372</v>
      </c>
      <c r="C47" s="415"/>
      <c r="D47" s="415"/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387">
        <f t="shared" si="14"/>
        <v>0</v>
      </c>
      <c r="P47" s="398">
        <f t="shared" si="21"/>
        <v>0</v>
      </c>
      <c r="R47" s="521" t="str">
        <f t="shared" si="15"/>
        <v/>
      </c>
    </row>
    <row r="48" spans="1:18" hidden="1" outlineLevel="1" x14ac:dyDescent="0.3">
      <c r="A48" s="406" t="s">
        <v>373</v>
      </c>
      <c r="B48" s="407" t="s">
        <v>374</v>
      </c>
      <c r="C48" s="408">
        <f>SUM(C49:C53)</f>
        <v>552.43544999999995</v>
      </c>
      <c r="D48" s="408">
        <f t="shared" ref="D48:N48" si="23">SUM(D49:D53)</f>
        <v>375.80391056249999</v>
      </c>
      <c r="E48" s="408">
        <f t="shared" si="23"/>
        <v>103.04329500281247</v>
      </c>
      <c r="F48" s="408">
        <f t="shared" si="23"/>
        <v>249.875548860484</v>
      </c>
      <c r="G48" s="408">
        <f t="shared" si="23"/>
        <v>95.568722548392202</v>
      </c>
      <c r="H48" s="408">
        <f t="shared" si="23"/>
        <v>95.32980074202122</v>
      </c>
      <c r="I48" s="408">
        <f t="shared" si="23"/>
        <v>262.75284019379603</v>
      </c>
      <c r="J48" s="408">
        <f t="shared" si="23"/>
        <v>82.093747549565762</v>
      </c>
      <c r="K48" s="408">
        <f t="shared" si="23"/>
        <v>72.60851318069183</v>
      </c>
      <c r="L48" s="408">
        <f t="shared" si="23"/>
        <v>289.25086989657126</v>
      </c>
      <c r="M48" s="408">
        <f t="shared" si="23"/>
        <v>100.7241644360314</v>
      </c>
      <c r="N48" s="408">
        <f t="shared" si="23"/>
        <v>106.60929521044102</v>
      </c>
      <c r="O48" s="409">
        <f t="shared" si="14"/>
        <v>2386.0961581833071</v>
      </c>
      <c r="P48" s="465">
        <f t="shared" si="21"/>
        <v>5.764600620698429E-2</v>
      </c>
      <c r="R48" s="521">
        <f t="shared" si="15"/>
        <v>2.0597887314927301</v>
      </c>
    </row>
    <row r="49" spans="1:18" hidden="1" outlineLevel="1" x14ac:dyDescent="0.3">
      <c r="A49" s="411" t="s">
        <v>375</v>
      </c>
      <c r="B49" s="396" t="s">
        <v>376</v>
      </c>
      <c r="C49" s="415">
        <f>'VET &amp; MED Costs'!$E$41+'VET &amp; MED Costs'!$F$41+'VET &amp; MED Costs'!$G$41+'VET &amp; MED Costs'!$H$41</f>
        <v>0</v>
      </c>
      <c r="D49" s="415">
        <f>'VET &amp; MED Costs'!$E$42+'VET &amp; MED Costs'!$F$42+'VET &amp; MED Costs'!$G$42+'VET &amp; MED Costs'!$H$42</f>
        <v>272.50236168749996</v>
      </c>
      <c r="E49" s="415">
        <f>'VET &amp; MED Costs'!$E$43+'VET &amp; MED Costs'!$F$43+'VET &amp; MED Costs'!$G$43+'VET &amp; MED Costs'!$H$43</f>
        <v>0</v>
      </c>
      <c r="F49" s="415">
        <f>'VET &amp; MED Costs'!$E$44+'VET &amp; MED Costs'!$F$44+'VET &amp; MED Costs'!$G$44+'VET &amp; MED Costs'!$H$44</f>
        <v>147.08986209517852</v>
      </c>
      <c r="G49" s="415">
        <f>'VET &amp; MED Costs'!$E$45+'VET &amp; MED Costs'!$F$45+'VET &amp; MED Costs'!$G$45+'VET &amp; MED Costs'!$H$45</f>
        <v>0</v>
      </c>
      <c r="H49" s="415">
        <f>'VET &amp; MED Costs'!$E$46+'VET &amp; MED Costs'!$F$46+'VET &amp; MED Costs'!$G$46+'VET &amp; MED Costs'!$H$46</f>
        <v>0</v>
      </c>
      <c r="I49" s="415">
        <f>'VET &amp; MED Costs'!$E$47+'VET &amp; MED Costs'!$F$47+'VET &amp; MED Costs'!$G$47+'VET &amp; MED Costs'!$H$47</f>
        <v>167.66136395362986</v>
      </c>
      <c r="J49" s="415">
        <f>'VET &amp; MED Costs'!$E$48+'VET &amp; MED Costs'!$F$48+'VET &amp; MED Costs'!$G$48+'VET &amp; MED Costs'!$H$48</f>
        <v>0</v>
      </c>
      <c r="K49" s="415">
        <f>'VET &amp; MED Costs'!$E$49+'VET &amp; MED Costs'!$F$49+'VET &amp; MED Costs'!$G$49+'VET &amp; MED Costs'!$H$49</f>
        <v>0</v>
      </c>
      <c r="L49" s="415">
        <f>'VET &amp; MED Costs'!$E$50+'VET &amp; MED Costs'!$F$50+'VET &amp; MED Costs'!$G$50+'VET &amp; MED Costs'!$H$50</f>
        <v>202.56693681333149</v>
      </c>
      <c r="M49" s="415">
        <f>'VET &amp; MED Costs'!$E$51+'VET &amp; MED Costs'!$F$51+'VET &amp; MED Costs'!$G$51+'VET &amp; MED Costs'!$H$51</f>
        <v>0</v>
      </c>
      <c r="N49" s="415">
        <f>'VET &amp; MED Costs'!$E$52+'VET &amp; MED Costs'!$F$52+'VET &amp; MED Costs'!$G$52+'VET &amp; MED Costs'!$H$52</f>
        <v>0</v>
      </c>
      <c r="O49" s="387">
        <f t="shared" si="14"/>
        <v>789.82052454963991</v>
      </c>
      <c r="P49" s="398">
        <f t="shared" si="21"/>
        <v>1.9081376374729647E-2</v>
      </c>
      <c r="R49" s="521">
        <f t="shared" si="15"/>
        <v>0.68180966252745834</v>
      </c>
    </row>
    <row r="50" spans="1:18" hidden="1" outlineLevel="1" x14ac:dyDescent="0.3">
      <c r="A50" s="411" t="s">
        <v>377</v>
      </c>
      <c r="B50" s="396" t="s">
        <v>109</v>
      </c>
      <c r="C50" s="415">
        <f>'VET &amp; MED Costs'!$C$41</f>
        <v>85.705199999999991</v>
      </c>
      <c r="D50" s="415">
        <f>'VET &amp; MED Costs'!$C$42</f>
        <v>85.490937000000002</v>
      </c>
      <c r="E50" s="415">
        <f>'VET &amp; MED Costs'!$C$43</f>
        <v>85.277209657499981</v>
      </c>
      <c r="F50" s="415">
        <f>'VET &amp; MED Costs'!$C$44</f>
        <v>85.064016633356246</v>
      </c>
      <c r="G50" s="415">
        <f>'VET &amp; MED Costs'!$C$45</f>
        <v>79.09135659177285</v>
      </c>
      <c r="H50" s="415">
        <f>'VET &amp; MED Costs'!$C$46</f>
        <v>78.893628200293421</v>
      </c>
      <c r="I50" s="415">
        <f>'VET &amp; MED Costs'!$C$47</f>
        <v>78.696394129792679</v>
      </c>
      <c r="J50" s="415">
        <f>'VET &amp; MED Costs'!$C$48</f>
        <v>67.93965314446821</v>
      </c>
      <c r="K50" s="415">
        <f>'VET &amp; MED Costs'!$C$49</f>
        <v>60.089804011607036</v>
      </c>
      <c r="L50" s="415">
        <f>'VET &amp; MED Costs'!$C$50</f>
        <v>71.738427379232931</v>
      </c>
      <c r="M50" s="415">
        <f>'VET &amp; MED Costs'!$C$51</f>
        <v>83.357929188439783</v>
      </c>
      <c r="N50" s="415">
        <f>'VET &amp; MED Costs'!$C$52</f>
        <v>88.228382243123605</v>
      </c>
      <c r="O50" s="387">
        <f t="shared" si="14"/>
        <v>949.5729381795868</v>
      </c>
      <c r="P50" s="398">
        <f t="shared" si="21"/>
        <v>2.2940855631719912E-2</v>
      </c>
      <c r="R50" s="521">
        <f t="shared" si="15"/>
        <v>0.8197153459573594</v>
      </c>
    </row>
    <row r="51" spans="1:18" hidden="1" outlineLevel="1" x14ac:dyDescent="0.3">
      <c r="A51" s="411" t="s">
        <v>378</v>
      </c>
      <c r="B51" s="396" t="s">
        <v>111</v>
      </c>
      <c r="C51" s="415">
        <f>'VET &amp; MED Costs'!$D$41</f>
        <v>17.855250000000002</v>
      </c>
      <c r="D51" s="415">
        <f>'VET &amp; MED Costs'!$D$42</f>
        <v>17.810611875000003</v>
      </c>
      <c r="E51" s="415">
        <f>'VET &amp; MED Costs'!$D$43</f>
        <v>17.766085345312497</v>
      </c>
      <c r="F51" s="415">
        <f>'VET &amp; MED Costs'!$D$44</f>
        <v>17.721670131949221</v>
      </c>
      <c r="G51" s="415">
        <f>'VET &amp; MED Costs'!$D$45</f>
        <v>16.477365956619344</v>
      </c>
      <c r="H51" s="415">
        <f>'VET &amp; MED Costs'!$D$46</f>
        <v>16.436172541727796</v>
      </c>
      <c r="I51" s="415">
        <f>'VET &amp; MED Costs'!$D$47</f>
        <v>16.395082110373476</v>
      </c>
      <c r="J51" s="415">
        <f>'VET &amp; MED Costs'!$D$48</f>
        <v>14.154094405097545</v>
      </c>
      <c r="K51" s="415">
        <f>'VET &amp; MED Costs'!$D$49</f>
        <v>12.518709169084801</v>
      </c>
      <c r="L51" s="415">
        <f>'VET &amp; MED Costs'!$D$50</f>
        <v>14.945505704006862</v>
      </c>
      <c r="M51" s="415">
        <f>'VET &amp; MED Costs'!$D$51</f>
        <v>17.366235247591622</v>
      </c>
      <c r="N51" s="415">
        <f>'VET &amp; MED Costs'!$D$52</f>
        <v>18.380912967317418</v>
      </c>
      <c r="O51" s="387">
        <f t="shared" si="14"/>
        <v>197.82769545408058</v>
      </c>
      <c r="P51" s="398">
        <f t="shared" si="21"/>
        <v>4.7793449232749821E-3</v>
      </c>
      <c r="R51" s="521">
        <f t="shared" si="15"/>
        <v>0.17077403040778322</v>
      </c>
    </row>
    <row r="52" spans="1:18" hidden="1" outlineLevel="1" x14ac:dyDescent="0.3">
      <c r="A52" s="416"/>
      <c r="B52" s="396" t="s">
        <v>379</v>
      </c>
      <c r="C52" s="415">
        <f>'VET &amp; MED Costs'!$L$41</f>
        <v>448.875</v>
      </c>
      <c r="D52" s="415">
        <f>'VET &amp; MED Costs'!$L$42</f>
        <v>0</v>
      </c>
      <c r="E52" s="415">
        <f>'VET &amp; MED Costs'!$L$43</f>
        <v>0</v>
      </c>
      <c r="F52" s="415">
        <f>'VET &amp; MED Costs'!$L$44</f>
        <v>0</v>
      </c>
      <c r="G52" s="415">
        <f>'VET &amp; MED Costs'!$L$45</f>
        <v>0</v>
      </c>
      <c r="H52" s="415">
        <f>'VET &amp; MED Costs'!$L$46</f>
        <v>0</v>
      </c>
      <c r="I52" s="415">
        <f>'VET &amp; MED Costs'!$L$47</f>
        <v>0</v>
      </c>
      <c r="J52" s="415">
        <f>'VET &amp; MED Costs'!$L$48</f>
        <v>0</v>
      </c>
      <c r="K52" s="415">
        <f>'VET &amp; MED Costs'!$L$49</f>
        <v>0</v>
      </c>
      <c r="L52" s="415">
        <f>'VET &amp; MED Costs'!$L$50</f>
        <v>0</v>
      </c>
      <c r="M52" s="415">
        <f>'VET &amp; MED Costs'!$L$51</f>
        <v>0</v>
      </c>
      <c r="N52" s="415">
        <f>'VET &amp; MED Costs'!$L$52</f>
        <v>0</v>
      </c>
      <c r="O52" s="387">
        <f t="shared" si="14"/>
        <v>448.875</v>
      </c>
      <c r="P52" s="398">
        <f t="shared" si="21"/>
        <v>1.0844429277259753E-2</v>
      </c>
      <c r="R52" s="521">
        <f t="shared" si="15"/>
        <v>0.38748969260012933</v>
      </c>
    </row>
    <row r="53" spans="1:18" hidden="1" outlineLevel="1" x14ac:dyDescent="0.3">
      <c r="A53" s="411" t="s">
        <v>380</v>
      </c>
      <c r="B53" s="396" t="s">
        <v>113</v>
      </c>
      <c r="C53" s="464"/>
      <c r="D53" s="464"/>
      <c r="E53" s="464"/>
      <c r="F53" s="464"/>
      <c r="G53" s="464"/>
      <c r="H53" s="464"/>
      <c r="I53" s="464"/>
      <c r="J53" s="464"/>
      <c r="K53" s="464"/>
      <c r="L53" s="464"/>
      <c r="M53" s="464"/>
      <c r="N53" s="464"/>
      <c r="O53" s="387">
        <f t="shared" si="14"/>
        <v>0</v>
      </c>
      <c r="P53" s="398">
        <f t="shared" si="21"/>
        <v>0</v>
      </c>
      <c r="R53" s="521" t="str">
        <f t="shared" si="15"/>
        <v/>
      </c>
    </row>
    <row r="54" spans="1:18" hidden="1" outlineLevel="1" x14ac:dyDescent="0.3">
      <c r="A54" s="406" t="s">
        <v>381</v>
      </c>
      <c r="B54" s="407" t="s">
        <v>115</v>
      </c>
      <c r="C54" s="408">
        <f>SUM(C55:C57)</f>
        <v>225.11579999999998</v>
      </c>
      <c r="D54" s="408">
        <f t="shared" ref="D54:N54" si="24">SUM(D55:D57)</f>
        <v>202.82207399999999</v>
      </c>
      <c r="E54" s="408">
        <f t="shared" si="24"/>
        <v>223.99162797374996</v>
      </c>
      <c r="F54" s="408">
        <f t="shared" si="24"/>
        <v>223.43164890381559</v>
      </c>
      <c r="G54" s="408">
        <f t="shared" si="24"/>
        <v>196.83306978155611</v>
      </c>
      <c r="H54" s="408">
        <f t="shared" si="24"/>
        <v>1914.0147265126934</v>
      </c>
      <c r="I54" s="408">
        <f t="shared" si="24"/>
        <v>731.5536278582199</v>
      </c>
      <c r="J54" s="408">
        <f t="shared" si="24"/>
        <v>649.5897437885742</v>
      </c>
      <c r="K54" s="408">
        <f t="shared" si="24"/>
        <v>1573.1272610695846</v>
      </c>
      <c r="L54" s="408">
        <f t="shared" si="24"/>
        <v>1932.7298371326692</v>
      </c>
      <c r="M54" s="408">
        <f t="shared" si="24"/>
        <v>2175.9577015994541</v>
      </c>
      <c r="N54" s="408">
        <f t="shared" si="24"/>
        <v>398.86581139078788</v>
      </c>
      <c r="O54" s="409">
        <f t="shared" si="14"/>
        <v>10448.032930011104</v>
      </c>
      <c r="P54" s="465">
        <f t="shared" si="21"/>
        <v>0.25241538111052392</v>
      </c>
      <c r="R54" s="521">
        <f t="shared" si="15"/>
        <v>9.0192259945999016</v>
      </c>
    </row>
    <row r="55" spans="1:18" hidden="1" outlineLevel="1" x14ac:dyDescent="0.3">
      <c r="A55" s="411" t="s">
        <v>382</v>
      </c>
      <c r="B55" s="396" t="s">
        <v>122</v>
      </c>
      <c r="C55" s="415">
        <f>'HERD FEED COSTS'!C22</f>
        <v>225.11579999999998</v>
      </c>
      <c r="D55" s="415">
        <f>'HERD FEED COSTS'!D22</f>
        <v>202.82207399999999</v>
      </c>
      <c r="E55" s="415">
        <f>'HERD FEED COSTS'!E22</f>
        <v>223.99162797374996</v>
      </c>
      <c r="F55" s="415">
        <f>'HERD FEED COSTS'!F22</f>
        <v>223.43164890381559</v>
      </c>
      <c r="G55" s="415">
        <f>'HERD FEED COSTS'!G22</f>
        <v>196.83306978155611</v>
      </c>
      <c r="H55" s="415">
        <f>'HERD FEED COSTS'!H22</f>
        <v>0</v>
      </c>
      <c r="I55" s="415">
        <f>'HERD FEED COSTS'!I22</f>
        <v>0</v>
      </c>
      <c r="J55" s="415">
        <f>'HERD FEED COSTS'!J22</f>
        <v>0</v>
      </c>
      <c r="K55" s="415">
        <f>'HERD FEED COSTS'!K22</f>
        <v>0</v>
      </c>
      <c r="L55" s="415">
        <f>'HERD FEED COSTS'!L22</f>
        <v>0</v>
      </c>
      <c r="M55" s="415">
        <f>'HERD FEED COSTS'!M22</f>
        <v>376.84730487273816</v>
      </c>
      <c r="N55" s="415">
        <f>'HERD FEED COSTS'!N22</f>
        <v>398.86581139078788</v>
      </c>
      <c r="O55" s="387">
        <f t="shared" si="14"/>
        <v>1847.9073369226478</v>
      </c>
      <c r="P55" s="398">
        <f t="shared" si="21"/>
        <v>4.4643832751182541E-2</v>
      </c>
      <c r="R55" s="521">
        <f t="shared" si="15"/>
        <v>1.5951992112229025</v>
      </c>
    </row>
    <row r="56" spans="1:18" hidden="1" outlineLevel="1" x14ac:dyDescent="0.3">
      <c r="A56" s="411" t="s">
        <v>383</v>
      </c>
      <c r="B56" s="396" t="s">
        <v>120</v>
      </c>
      <c r="C56" s="415">
        <f>'HERD FEED COSTS'!C23</f>
        <v>0</v>
      </c>
      <c r="D56" s="415">
        <f>'HERD FEED COSTS'!D23</f>
        <v>0</v>
      </c>
      <c r="E56" s="415">
        <f>'HERD FEED COSTS'!E23</f>
        <v>0</v>
      </c>
      <c r="F56" s="415">
        <f>'HERD FEED COSTS'!F23</f>
        <v>0</v>
      </c>
      <c r="G56" s="415">
        <f>'HERD FEED COSTS'!G23</f>
        <v>0</v>
      </c>
      <c r="H56" s="415">
        <f>'HERD FEED COSTS'!H23</f>
        <v>768.84360473847221</v>
      </c>
      <c r="I56" s="415">
        <f>'HERD FEED COSTS'!I23</f>
        <v>731.5536278582199</v>
      </c>
      <c r="J56" s="415">
        <f>'HERD FEED COSTS'!J23</f>
        <v>649.5897437885742</v>
      </c>
      <c r="K56" s="415">
        <f>'HERD FEED COSTS'!K23</f>
        <v>587.50026942910279</v>
      </c>
      <c r="L56" s="415">
        <f>'HERD FEED COSTS'!L23</f>
        <v>621.84593825082845</v>
      </c>
      <c r="M56" s="415">
        <f>'HERD FEED COSTS'!M23</f>
        <v>328.05287145025</v>
      </c>
      <c r="N56" s="415">
        <f>'HERD FEED COSTS'!N23</f>
        <v>0</v>
      </c>
      <c r="O56" s="387">
        <f t="shared" si="14"/>
        <v>3687.3860555154479</v>
      </c>
      <c r="P56" s="398">
        <f t="shared" si="21"/>
        <v>8.9084037420197326E-2</v>
      </c>
      <c r="R56" s="521">
        <f t="shared" si="15"/>
        <v>3.1831224486765453</v>
      </c>
    </row>
    <row r="57" spans="1:18" hidden="1" outlineLevel="1" x14ac:dyDescent="0.3">
      <c r="A57" s="411" t="s">
        <v>384</v>
      </c>
      <c r="B57" s="396" t="s">
        <v>118</v>
      </c>
      <c r="C57" s="415">
        <f>'HERD FEED COSTS'!C24</f>
        <v>0</v>
      </c>
      <c r="D57" s="415">
        <f>'HERD FEED COSTS'!D24</f>
        <v>0</v>
      </c>
      <c r="E57" s="415">
        <f>'HERD FEED COSTS'!E24</f>
        <v>0</v>
      </c>
      <c r="F57" s="415">
        <f>'HERD FEED COSTS'!F24</f>
        <v>0</v>
      </c>
      <c r="G57" s="415">
        <f>'HERD FEED COSTS'!G24</f>
        <v>0</v>
      </c>
      <c r="H57" s="415">
        <f>'HERD FEED COSTS'!H24</f>
        <v>1145.1711217742211</v>
      </c>
      <c r="I57" s="415">
        <f>'HERD FEED COSTS'!I24</f>
        <v>0</v>
      </c>
      <c r="J57" s="415">
        <f>'HERD FEED COSTS'!J24</f>
        <v>0</v>
      </c>
      <c r="K57" s="415">
        <f>'HERD FEED COSTS'!K24</f>
        <v>985.62699164048195</v>
      </c>
      <c r="L57" s="415">
        <f>'HERD FEED COSTS'!L24</f>
        <v>1310.8838988818409</v>
      </c>
      <c r="M57" s="415">
        <f>'HERD FEED COSTS'!M24</f>
        <v>1471.0575252764661</v>
      </c>
      <c r="N57" s="415">
        <f>'HERD FEED COSTS'!N24</f>
        <v>0</v>
      </c>
      <c r="O57" s="387">
        <f t="shared" si="14"/>
        <v>4912.7395375730102</v>
      </c>
      <c r="P57" s="398">
        <f t="shared" si="21"/>
        <v>0.11868751093914406</v>
      </c>
      <c r="R57" s="521">
        <f t="shared" si="15"/>
        <v>4.2409043347004562</v>
      </c>
    </row>
    <row r="58" spans="1:18" hidden="1" outlineLevel="1" x14ac:dyDescent="0.3">
      <c r="A58" s="406" t="s">
        <v>125</v>
      </c>
      <c r="B58" s="407" t="s">
        <v>126</v>
      </c>
      <c r="C58" s="408">
        <f>SUM(C59:C68)</f>
        <v>846.3</v>
      </c>
      <c r="D58" s="408">
        <f t="shared" ref="D58:N58" si="25">SUM(D59:D68)</f>
        <v>781.2</v>
      </c>
      <c r="E58" s="408">
        <f t="shared" si="25"/>
        <v>846.3</v>
      </c>
      <c r="F58" s="408">
        <f t="shared" si="25"/>
        <v>813.75</v>
      </c>
      <c r="G58" s="408">
        <f t="shared" si="25"/>
        <v>846.3</v>
      </c>
      <c r="H58" s="408">
        <f t="shared" si="25"/>
        <v>813.75</v>
      </c>
      <c r="I58" s="408">
        <f t="shared" si="25"/>
        <v>846.3</v>
      </c>
      <c r="J58" s="408">
        <f t="shared" si="25"/>
        <v>846.3</v>
      </c>
      <c r="K58" s="408">
        <f t="shared" si="25"/>
        <v>813.75</v>
      </c>
      <c r="L58" s="408">
        <f t="shared" si="25"/>
        <v>846.3</v>
      </c>
      <c r="M58" s="408">
        <f t="shared" si="25"/>
        <v>813.75</v>
      </c>
      <c r="N58" s="408">
        <f t="shared" si="25"/>
        <v>1866.05</v>
      </c>
      <c r="O58" s="409">
        <f t="shared" si="14"/>
        <v>10980.05</v>
      </c>
      <c r="P58" s="465">
        <f t="shared" si="21"/>
        <v>0.26526845042779379</v>
      </c>
      <c r="R58" s="521">
        <f t="shared" si="15"/>
        <v>9.4784877732866608</v>
      </c>
    </row>
    <row r="59" spans="1:18" hidden="1" outlineLevel="1" x14ac:dyDescent="0.3">
      <c r="A59" s="411" t="s">
        <v>127</v>
      </c>
      <c r="B59" s="396" t="s">
        <v>385</v>
      </c>
      <c r="C59" s="397"/>
      <c r="D59" s="397"/>
      <c r="E59" s="397"/>
      <c r="F59" s="397"/>
      <c r="G59" s="397"/>
      <c r="H59" s="397"/>
      <c r="I59" s="397"/>
      <c r="J59" s="397"/>
      <c r="K59" s="397"/>
      <c r="L59" s="397"/>
      <c r="M59" s="397"/>
      <c r="N59" s="397">
        <v>500</v>
      </c>
      <c r="O59" s="387">
        <f t="shared" si="14"/>
        <v>500</v>
      </c>
      <c r="P59" s="398">
        <f t="shared" si="21"/>
        <v>1.2079564775560849E-2</v>
      </c>
      <c r="R59" s="521">
        <f t="shared" si="15"/>
        <v>5.1794779294921209</v>
      </c>
    </row>
    <row r="60" spans="1:18" hidden="1" outlineLevel="1" x14ac:dyDescent="0.3">
      <c r="A60" s="411" t="s">
        <v>130</v>
      </c>
      <c r="B60" s="396" t="s">
        <v>386</v>
      </c>
      <c r="C60" s="397"/>
      <c r="D60" s="397"/>
      <c r="E60" s="397"/>
      <c r="F60" s="397"/>
      <c r="G60" s="397"/>
      <c r="H60" s="397"/>
      <c r="I60" s="397"/>
      <c r="J60" s="397"/>
      <c r="K60" s="397"/>
      <c r="L60" s="397"/>
      <c r="M60" s="397"/>
      <c r="N60" s="397"/>
      <c r="O60" s="387">
        <f t="shared" si="14"/>
        <v>0</v>
      </c>
      <c r="P60" s="398">
        <f t="shared" si="21"/>
        <v>0</v>
      </c>
      <c r="R60" s="521" t="str">
        <f t="shared" si="15"/>
        <v/>
      </c>
    </row>
    <row r="61" spans="1:18" hidden="1" outlineLevel="1" x14ac:dyDescent="0.3">
      <c r="A61" s="411" t="s">
        <v>132</v>
      </c>
      <c r="B61" s="396" t="s">
        <v>387</v>
      </c>
      <c r="C61" s="397"/>
      <c r="D61" s="397"/>
      <c r="E61" s="397"/>
      <c r="F61" s="397"/>
      <c r="G61" s="397"/>
      <c r="H61" s="397"/>
      <c r="I61" s="397"/>
      <c r="J61" s="397"/>
      <c r="K61" s="397"/>
      <c r="L61" s="397"/>
      <c r="M61" s="397"/>
      <c r="N61" s="397"/>
      <c r="O61" s="387">
        <f t="shared" si="14"/>
        <v>0</v>
      </c>
      <c r="P61" s="398">
        <f t="shared" si="21"/>
        <v>0</v>
      </c>
      <c r="R61" s="521" t="str">
        <f t="shared" si="15"/>
        <v/>
      </c>
    </row>
    <row r="62" spans="1:18" hidden="1" outlineLevel="1" x14ac:dyDescent="0.3">
      <c r="A62" s="411" t="s">
        <v>134</v>
      </c>
      <c r="B62" s="396" t="s">
        <v>388</v>
      </c>
      <c r="C62" s="397"/>
      <c r="D62" s="397"/>
      <c r="E62" s="397"/>
      <c r="F62" s="397"/>
      <c r="G62" s="397"/>
      <c r="H62" s="397"/>
      <c r="I62" s="397"/>
      <c r="J62" s="397"/>
      <c r="K62" s="397"/>
      <c r="L62" s="397"/>
      <c r="M62" s="397"/>
      <c r="N62" s="397"/>
      <c r="O62" s="387">
        <f t="shared" si="14"/>
        <v>0</v>
      </c>
      <c r="P62" s="398">
        <f t="shared" si="21"/>
        <v>0</v>
      </c>
      <c r="R62" s="521" t="str">
        <f t="shared" si="15"/>
        <v/>
      </c>
    </row>
    <row r="63" spans="1:18" hidden="1" outlineLevel="1" x14ac:dyDescent="0.3">
      <c r="A63" s="411" t="s">
        <v>136</v>
      </c>
      <c r="B63" s="396" t="s">
        <v>389</v>
      </c>
      <c r="C63" s="397"/>
      <c r="D63" s="397"/>
      <c r="E63" s="397"/>
      <c r="F63" s="397"/>
      <c r="G63" s="397"/>
      <c r="H63" s="397"/>
      <c r="I63" s="397"/>
      <c r="J63" s="397"/>
      <c r="K63" s="397"/>
      <c r="L63" s="397"/>
      <c r="M63" s="397"/>
      <c r="N63" s="397"/>
      <c r="O63" s="387">
        <f t="shared" si="14"/>
        <v>0</v>
      </c>
      <c r="P63" s="398">
        <f t="shared" si="21"/>
        <v>0</v>
      </c>
      <c r="R63" s="521" t="str">
        <f t="shared" si="15"/>
        <v/>
      </c>
    </row>
    <row r="64" spans="1:18" hidden="1" outlineLevel="1" x14ac:dyDescent="0.3">
      <c r="A64" s="411" t="s">
        <v>138</v>
      </c>
      <c r="B64" s="396" t="s">
        <v>390</v>
      </c>
      <c r="C64" s="397"/>
      <c r="D64" s="397"/>
      <c r="E64" s="397"/>
      <c r="F64" s="397"/>
      <c r="G64" s="397"/>
      <c r="H64" s="397"/>
      <c r="I64" s="397"/>
      <c r="J64" s="397"/>
      <c r="K64" s="397"/>
      <c r="L64" s="397"/>
      <c r="M64" s="397"/>
      <c r="N64" s="397"/>
      <c r="O64" s="387">
        <f t="shared" si="14"/>
        <v>0</v>
      </c>
      <c r="P64" s="398">
        <f t="shared" si="21"/>
        <v>0</v>
      </c>
      <c r="R64" s="521" t="str">
        <f t="shared" si="15"/>
        <v/>
      </c>
    </row>
    <row r="65" spans="1:18" hidden="1" outlineLevel="1" x14ac:dyDescent="0.3">
      <c r="A65" s="411" t="s">
        <v>140</v>
      </c>
      <c r="B65" s="396" t="s">
        <v>391</v>
      </c>
      <c r="C65" s="397"/>
      <c r="D65" s="397"/>
      <c r="E65" s="397"/>
      <c r="F65" s="397"/>
      <c r="G65" s="397"/>
      <c r="H65" s="397"/>
      <c r="I65" s="397"/>
      <c r="J65" s="397"/>
      <c r="K65" s="397"/>
      <c r="L65" s="397"/>
      <c r="M65" s="397"/>
      <c r="N65" s="397"/>
      <c r="O65" s="387">
        <f t="shared" si="14"/>
        <v>0</v>
      </c>
      <c r="P65" s="398">
        <f t="shared" si="21"/>
        <v>0</v>
      </c>
      <c r="R65" s="521" t="str">
        <f t="shared" si="15"/>
        <v/>
      </c>
    </row>
    <row r="66" spans="1:18" hidden="1" outlineLevel="1" x14ac:dyDescent="0.3">
      <c r="A66" s="411" t="s">
        <v>142</v>
      </c>
      <c r="B66" s="396" t="s">
        <v>392</v>
      </c>
      <c r="C66" s="415">
        <f>LABOUR!C21</f>
        <v>806</v>
      </c>
      <c r="D66" s="415">
        <f>LABOUR!E21</f>
        <v>744</v>
      </c>
      <c r="E66" s="415">
        <f>LABOUR!G21</f>
        <v>806</v>
      </c>
      <c r="F66" s="415">
        <f>LABOUR!I21</f>
        <v>775</v>
      </c>
      <c r="G66" s="415">
        <f>LABOUR!K21</f>
        <v>806</v>
      </c>
      <c r="H66" s="415">
        <f>LABOUR!M21</f>
        <v>775</v>
      </c>
      <c r="I66" s="415">
        <f>LABOUR!O21</f>
        <v>806</v>
      </c>
      <c r="J66" s="415">
        <f>LABOUR!Q21</f>
        <v>806</v>
      </c>
      <c r="K66" s="415">
        <f>LABOUR!S21</f>
        <v>775</v>
      </c>
      <c r="L66" s="415">
        <f>LABOUR!U21</f>
        <v>806</v>
      </c>
      <c r="M66" s="415">
        <f>LABOUR!W21</f>
        <v>775</v>
      </c>
      <c r="N66" s="415">
        <f>LABOUR!Y21</f>
        <v>1301</v>
      </c>
      <c r="O66" s="387">
        <f t="shared" si="14"/>
        <v>9981</v>
      </c>
      <c r="P66" s="398">
        <f t="shared" si="21"/>
        <v>0.24113227204974566</v>
      </c>
      <c r="R66" s="521">
        <f t="shared" si="15"/>
        <v>8.6160615357101431</v>
      </c>
    </row>
    <row r="67" spans="1:18" hidden="1" outlineLevel="1" x14ac:dyDescent="0.3">
      <c r="A67" s="411" t="s">
        <v>393</v>
      </c>
      <c r="B67" s="418" t="s">
        <v>394</v>
      </c>
      <c r="C67" s="415">
        <f>SUM(C66*5%)</f>
        <v>40.300000000000004</v>
      </c>
      <c r="D67" s="415">
        <f t="shared" ref="D67:N67" si="26">SUM(D66*5%)</f>
        <v>37.200000000000003</v>
      </c>
      <c r="E67" s="415">
        <f t="shared" si="26"/>
        <v>40.300000000000004</v>
      </c>
      <c r="F67" s="415">
        <f t="shared" si="26"/>
        <v>38.75</v>
      </c>
      <c r="G67" s="415">
        <f t="shared" si="26"/>
        <v>40.300000000000004</v>
      </c>
      <c r="H67" s="415">
        <f t="shared" si="26"/>
        <v>38.75</v>
      </c>
      <c r="I67" s="415">
        <f t="shared" si="26"/>
        <v>40.300000000000004</v>
      </c>
      <c r="J67" s="415">
        <f t="shared" si="26"/>
        <v>40.300000000000004</v>
      </c>
      <c r="K67" s="415">
        <f t="shared" si="26"/>
        <v>38.75</v>
      </c>
      <c r="L67" s="415">
        <f t="shared" si="26"/>
        <v>40.300000000000004</v>
      </c>
      <c r="M67" s="415">
        <f t="shared" si="26"/>
        <v>38.75</v>
      </c>
      <c r="N67" s="415">
        <f t="shared" si="26"/>
        <v>65.05</v>
      </c>
      <c r="O67" s="387">
        <f t="shared" si="14"/>
        <v>499.05000000000007</v>
      </c>
      <c r="P67" s="398">
        <f t="shared" si="21"/>
        <v>1.2056613602487285E-2</v>
      </c>
      <c r="R67" s="521">
        <f t="shared" si="15"/>
        <v>0.43080307678550722</v>
      </c>
    </row>
    <row r="68" spans="1:18" hidden="1" outlineLevel="1" x14ac:dyDescent="0.3">
      <c r="A68" s="419" t="s">
        <v>144</v>
      </c>
      <c r="B68" s="400" t="s">
        <v>395</v>
      </c>
      <c r="C68" s="420"/>
      <c r="D68" s="420"/>
      <c r="E68" s="420"/>
      <c r="F68" s="420"/>
      <c r="G68" s="420"/>
      <c r="H68" s="420"/>
      <c r="I68" s="420"/>
      <c r="J68" s="420"/>
      <c r="K68" s="420"/>
      <c r="L68" s="420"/>
      <c r="M68" s="420"/>
      <c r="N68" s="420"/>
      <c r="O68" s="402">
        <f t="shared" si="14"/>
        <v>0</v>
      </c>
      <c r="P68" s="398">
        <f t="shared" si="21"/>
        <v>0</v>
      </c>
      <c r="R68" s="521" t="str">
        <f t="shared" si="15"/>
        <v/>
      </c>
    </row>
    <row r="69" spans="1:18" ht="18" customHeight="1" collapsed="1" x14ac:dyDescent="0.3">
      <c r="A69" s="403" t="s">
        <v>396</v>
      </c>
      <c r="B69" s="421" t="s">
        <v>397</v>
      </c>
      <c r="C69" s="392">
        <f>SUM(C70:C77)</f>
        <v>100</v>
      </c>
      <c r="D69" s="392">
        <f t="shared" ref="D69:N69" si="27">SUM(D70:D77)</f>
        <v>100</v>
      </c>
      <c r="E69" s="392">
        <f t="shared" si="27"/>
        <v>100</v>
      </c>
      <c r="F69" s="392">
        <f t="shared" si="27"/>
        <v>100</v>
      </c>
      <c r="G69" s="392">
        <f t="shared" si="27"/>
        <v>100</v>
      </c>
      <c r="H69" s="392">
        <f t="shared" si="27"/>
        <v>100</v>
      </c>
      <c r="I69" s="392">
        <f t="shared" si="27"/>
        <v>100</v>
      </c>
      <c r="J69" s="392">
        <f t="shared" si="27"/>
        <v>100</v>
      </c>
      <c r="K69" s="392">
        <f t="shared" si="27"/>
        <v>100</v>
      </c>
      <c r="L69" s="392">
        <f t="shared" si="27"/>
        <v>100</v>
      </c>
      <c r="M69" s="392">
        <f t="shared" si="27"/>
        <v>100</v>
      </c>
      <c r="N69" s="392">
        <f t="shared" si="27"/>
        <v>100</v>
      </c>
      <c r="O69" s="393">
        <f t="shared" si="14"/>
        <v>1200</v>
      </c>
      <c r="P69" s="486">
        <f t="shared" si="21"/>
        <v>2.8990955461346037E-2</v>
      </c>
      <c r="R69" s="521">
        <f t="shared" si="15"/>
        <v>1.0358955858984242</v>
      </c>
    </row>
    <row r="70" spans="1:18" hidden="1" outlineLevel="1" x14ac:dyDescent="0.3">
      <c r="A70" s="411" t="s">
        <v>78</v>
      </c>
      <c r="B70" s="396" t="s">
        <v>398</v>
      </c>
      <c r="C70" s="397"/>
      <c r="D70" s="397"/>
      <c r="E70" s="397"/>
      <c r="F70" s="397"/>
      <c r="G70" s="397"/>
      <c r="H70" s="397"/>
      <c r="I70" s="397"/>
      <c r="J70" s="397"/>
      <c r="K70" s="397"/>
      <c r="L70" s="397"/>
      <c r="M70" s="397"/>
      <c r="N70" s="397"/>
      <c r="O70" s="387">
        <f t="shared" si="14"/>
        <v>0</v>
      </c>
      <c r="P70" s="398">
        <f t="shared" si="21"/>
        <v>0</v>
      </c>
      <c r="R70" s="521" t="str">
        <f t="shared" si="15"/>
        <v/>
      </c>
    </row>
    <row r="71" spans="1:18" hidden="1" outlineLevel="1" x14ac:dyDescent="0.3">
      <c r="A71" s="411" t="s">
        <v>88</v>
      </c>
      <c r="B71" s="396" t="s">
        <v>399</v>
      </c>
      <c r="C71" s="397">
        <v>60</v>
      </c>
      <c r="D71" s="397">
        <v>60</v>
      </c>
      <c r="E71" s="397">
        <v>60</v>
      </c>
      <c r="F71" s="397">
        <v>60</v>
      </c>
      <c r="G71" s="397">
        <v>60</v>
      </c>
      <c r="H71" s="397">
        <v>60</v>
      </c>
      <c r="I71" s="397">
        <v>60</v>
      </c>
      <c r="J71" s="397">
        <v>60</v>
      </c>
      <c r="K71" s="397">
        <v>60</v>
      </c>
      <c r="L71" s="397">
        <v>60</v>
      </c>
      <c r="M71" s="397">
        <v>60</v>
      </c>
      <c r="N71" s="397">
        <v>60</v>
      </c>
      <c r="O71" s="387">
        <f t="shared" si="14"/>
        <v>720</v>
      </c>
      <c r="P71" s="398">
        <f t="shared" si="21"/>
        <v>1.7394573276807622E-2</v>
      </c>
      <c r="R71" s="521">
        <f t="shared" si="15"/>
        <v>0.62153735153905454</v>
      </c>
    </row>
    <row r="72" spans="1:18" hidden="1" outlineLevel="1" x14ac:dyDescent="0.3">
      <c r="A72" s="411" t="s">
        <v>80</v>
      </c>
      <c r="B72" s="396" t="s">
        <v>400</v>
      </c>
      <c r="C72" s="397"/>
      <c r="D72" s="397"/>
      <c r="E72" s="397"/>
      <c r="F72" s="397"/>
      <c r="G72" s="397"/>
      <c r="H72" s="397"/>
      <c r="I72" s="397"/>
      <c r="J72" s="397"/>
      <c r="K72" s="397"/>
      <c r="L72" s="397"/>
      <c r="M72" s="397"/>
      <c r="N72" s="397"/>
      <c r="O72" s="387">
        <f t="shared" si="14"/>
        <v>0</v>
      </c>
      <c r="P72" s="398">
        <f t="shared" si="21"/>
        <v>0</v>
      </c>
      <c r="R72" s="521" t="str">
        <f t="shared" si="15"/>
        <v/>
      </c>
    </row>
    <row r="73" spans="1:18" hidden="1" outlineLevel="1" x14ac:dyDescent="0.3">
      <c r="A73" s="411" t="s">
        <v>401</v>
      </c>
      <c r="B73" s="396" t="s">
        <v>402</v>
      </c>
      <c r="C73" s="397"/>
      <c r="D73" s="397"/>
      <c r="E73" s="397"/>
      <c r="F73" s="397"/>
      <c r="G73" s="397"/>
      <c r="H73" s="397"/>
      <c r="I73" s="397"/>
      <c r="J73" s="397"/>
      <c r="K73" s="397"/>
      <c r="L73" s="397"/>
      <c r="M73" s="397"/>
      <c r="N73" s="397"/>
      <c r="O73" s="387">
        <f t="shared" si="14"/>
        <v>0</v>
      </c>
      <c r="P73" s="398">
        <f t="shared" si="21"/>
        <v>0</v>
      </c>
      <c r="R73" s="521" t="str">
        <f t="shared" si="15"/>
        <v/>
      </c>
    </row>
    <row r="74" spans="1:18" hidden="1" outlineLevel="1" x14ac:dyDescent="0.3">
      <c r="A74" s="411" t="s">
        <v>82</v>
      </c>
      <c r="B74" s="396" t="s">
        <v>403</v>
      </c>
      <c r="C74" s="397"/>
      <c r="D74" s="397"/>
      <c r="E74" s="397"/>
      <c r="F74" s="397"/>
      <c r="G74" s="397"/>
      <c r="H74" s="397"/>
      <c r="I74" s="397"/>
      <c r="J74" s="397"/>
      <c r="K74" s="397"/>
      <c r="L74" s="397"/>
      <c r="M74" s="397"/>
      <c r="N74" s="397"/>
      <c r="O74" s="387">
        <f t="shared" si="14"/>
        <v>0</v>
      </c>
      <c r="P74" s="398">
        <f t="shared" si="21"/>
        <v>0</v>
      </c>
      <c r="R74" s="521" t="str">
        <f t="shared" si="15"/>
        <v/>
      </c>
    </row>
    <row r="75" spans="1:18" hidden="1" outlineLevel="1" x14ac:dyDescent="0.3">
      <c r="A75" s="411" t="s">
        <v>86</v>
      </c>
      <c r="B75" s="396" t="s">
        <v>404</v>
      </c>
      <c r="C75" s="397">
        <v>20</v>
      </c>
      <c r="D75" s="397">
        <v>20</v>
      </c>
      <c r="E75" s="397">
        <v>20</v>
      </c>
      <c r="F75" s="397">
        <v>20</v>
      </c>
      <c r="G75" s="397">
        <v>20</v>
      </c>
      <c r="H75" s="397">
        <v>20</v>
      </c>
      <c r="I75" s="397">
        <v>20</v>
      </c>
      <c r="J75" s="397">
        <v>20</v>
      </c>
      <c r="K75" s="397">
        <v>20</v>
      </c>
      <c r="L75" s="397">
        <v>20</v>
      </c>
      <c r="M75" s="397">
        <v>20</v>
      </c>
      <c r="N75" s="397">
        <v>20</v>
      </c>
      <c r="O75" s="387">
        <f t="shared" si="14"/>
        <v>240</v>
      </c>
      <c r="P75" s="398">
        <f t="shared" si="21"/>
        <v>5.7981910922692073E-3</v>
      </c>
      <c r="R75" s="521">
        <f t="shared" si="15"/>
        <v>0.20717911717968485</v>
      </c>
    </row>
    <row r="76" spans="1:18" hidden="1" outlineLevel="1" x14ac:dyDescent="0.3">
      <c r="A76" s="411" t="s">
        <v>90</v>
      </c>
      <c r="B76" s="396" t="s">
        <v>405</v>
      </c>
      <c r="C76" s="397">
        <v>20</v>
      </c>
      <c r="D76" s="397">
        <v>20</v>
      </c>
      <c r="E76" s="397">
        <v>20</v>
      </c>
      <c r="F76" s="397">
        <v>20</v>
      </c>
      <c r="G76" s="397">
        <v>20</v>
      </c>
      <c r="H76" s="397">
        <v>20</v>
      </c>
      <c r="I76" s="397">
        <v>20</v>
      </c>
      <c r="J76" s="397">
        <v>20</v>
      </c>
      <c r="K76" s="397">
        <v>20</v>
      </c>
      <c r="L76" s="397">
        <v>20</v>
      </c>
      <c r="M76" s="397">
        <v>20</v>
      </c>
      <c r="N76" s="397">
        <v>20</v>
      </c>
      <c r="O76" s="387">
        <f t="shared" si="14"/>
        <v>240</v>
      </c>
      <c r="P76" s="398">
        <f t="shared" si="21"/>
        <v>5.7981910922692073E-3</v>
      </c>
      <c r="R76" s="521">
        <f t="shared" si="15"/>
        <v>0.20717911717968485</v>
      </c>
    </row>
    <row r="77" spans="1:18" hidden="1" outlineLevel="1" x14ac:dyDescent="0.3">
      <c r="A77" s="419" t="s">
        <v>406</v>
      </c>
      <c r="B77" s="400" t="s">
        <v>407</v>
      </c>
      <c r="C77" s="401"/>
      <c r="D77" s="401"/>
      <c r="E77" s="401"/>
      <c r="F77" s="401"/>
      <c r="G77" s="401"/>
      <c r="H77" s="401"/>
      <c r="I77" s="401"/>
      <c r="J77" s="401"/>
      <c r="K77" s="401"/>
      <c r="L77" s="401"/>
      <c r="M77" s="401"/>
      <c r="N77" s="401"/>
      <c r="O77" s="402">
        <f t="shared" si="14"/>
        <v>0</v>
      </c>
      <c r="P77" s="398">
        <f t="shared" si="21"/>
        <v>0</v>
      </c>
      <c r="R77" s="521" t="str">
        <f t="shared" si="15"/>
        <v/>
      </c>
    </row>
    <row r="78" spans="1:18" ht="18" customHeight="1" collapsed="1" x14ac:dyDescent="0.3">
      <c r="A78" s="422" t="s">
        <v>205</v>
      </c>
      <c r="B78" s="423" t="s">
        <v>408</v>
      </c>
      <c r="C78" s="392">
        <f>SUM(C79+C93)</f>
        <v>0</v>
      </c>
      <c r="D78" s="392">
        <f t="shared" ref="D78:N78" si="28">SUM(D79+D93)</f>
        <v>0</v>
      </c>
      <c r="E78" s="392">
        <f t="shared" si="28"/>
        <v>0</v>
      </c>
      <c r="F78" s="392">
        <f t="shared" si="28"/>
        <v>0</v>
      </c>
      <c r="G78" s="392">
        <f t="shared" si="28"/>
        <v>0</v>
      </c>
      <c r="H78" s="392">
        <f t="shared" si="28"/>
        <v>0</v>
      </c>
      <c r="I78" s="392">
        <f t="shared" si="28"/>
        <v>0</v>
      </c>
      <c r="J78" s="392">
        <f t="shared" si="28"/>
        <v>0</v>
      </c>
      <c r="K78" s="392">
        <f t="shared" si="28"/>
        <v>0</v>
      </c>
      <c r="L78" s="392">
        <f t="shared" si="28"/>
        <v>0</v>
      </c>
      <c r="M78" s="392">
        <f t="shared" si="28"/>
        <v>0</v>
      </c>
      <c r="N78" s="392">
        <f t="shared" si="28"/>
        <v>0</v>
      </c>
      <c r="O78" s="393">
        <f t="shared" si="14"/>
        <v>0</v>
      </c>
      <c r="P78" s="394">
        <f>SUM(O78/O27)</f>
        <v>0</v>
      </c>
      <c r="R78" s="521">
        <f t="shared" si="15"/>
        <v>0</v>
      </c>
    </row>
    <row r="79" spans="1:18" ht="18" hidden="1" customHeight="1" outlineLevel="1" x14ac:dyDescent="0.3">
      <c r="A79" s="424" t="s">
        <v>205</v>
      </c>
      <c r="B79" s="425" t="s">
        <v>409</v>
      </c>
      <c r="C79" s="408">
        <f>SUM(C80:C92)</f>
        <v>0</v>
      </c>
      <c r="D79" s="408">
        <f t="shared" ref="D79:N79" si="29">SUM(D80:D92)</f>
        <v>0</v>
      </c>
      <c r="E79" s="408">
        <f t="shared" si="29"/>
        <v>0</v>
      </c>
      <c r="F79" s="408">
        <f t="shared" si="29"/>
        <v>0</v>
      </c>
      <c r="G79" s="408">
        <f t="shared" si="29"/>
        <v>0</v>
      </c>
      <c r="H79" s="408">
        <f t="shared" si="29"/>
        <v>0</v>
      </c>
      <c r="I79" s="408">
        <f t="shared" si="29"/>
        <v>0</v>
      </c>
      <c r="J79" s="408">
        <f t="shared" si="29"/>
        <v>0</v>
      </c>
      <c r="K79" s="408">
        <f t="shared" si="29"/>
        <v>0</v>
      </c>
      <c r="L79" s="408">
        <f t="shared" si="29"/>
        <v>0</v>
      </c>
      <c r="M79" s="408">
        <f t="shared" si="29"/>
        <v>0</v>
      </c>
      <c r="N79" s="408">
        <f t="shared" si="29"/>
        <v>0</v>
      </c>
      <c r="O79" s="409">
        <f t="shared" si="14"/>
        <v>0</v>
      </c>
      <c r="P79" s="410"/>
      <c r="R79" s="521">
        <f t="shared" si="15"/>
        <v>0</v>
      </c>
    </row>
    <row r="80" spans="1:18" hidden="1" outlineLevel="1" x14ac:dyDescent="0.3">
      <c r="A80" s="426" t="s">
        <v>207</v>
      </c>
      <c r="B80" s="418" t="s">
        <v>410</v>
      </c>
      <c r="C80" s="397"/>
      <c r="D80" s="397"/>
      <c r="E80" s="397"/>
      <c r="F80" s="397"/>
      <c r="G80" s="397"/>
      <c r="H80" s="397"/>
      <c r="I80" s="397"/>
      <c r="J80" s="397"/>
      <c r="K80" s="397"/>
      <c r="L80" s="397"/>
      <c r="M80" s="397"/>
      <c r="N80" s="397"/>
      <c r="O80" s="387">
        <f t="shared" si="14"/>
        <v>0</v>
      </c>
      <c r="P80" s="398">
        <f t="shared" ref="P80:P103" si="30">SUM(O80/$O$27)</f>
        <v>0</v>
      </c>
      <c r="R80" s="521" t="str">
        <f t="shared" si="15"/>
        <v/>
      </c>
    </row>
    <row r="81" spans="1:18" hidden="1" outlineLevel="1" x14ac:dyDescent="0.3">
      <c r="A81" s="426" t="s">
        <v>411</v>
      </c>
      <c r="B81" s="418" t="s">
        <v>412</v>
      </c>
      <c r="C81" s="397"/>
      <c r="D81" s="397"/>
      <c r="E81" s="397"/>
      <c r="F81" s="397"/>
      <c r="G81" s="397"/>
      <c r="H81" s="397"/>
      <c r="I81" s="397"/>
      <c r="J81" s="397"/>
      <c r="K81" s="397"/>
      <c r="L81" s="397"/>
      <c r="M81" s="397"/>
      <c r="N81" s="397"/>
      <c r="O81" s="387">
        <f t="shared" si="14"/>
        <v>0</v>
      </c>
      <c r="P81" s="398">
        <f t="shared" si="30"/>
        <v>0</v>
      </c>
      <c r="R81" s="521" t="str">
        <f t="shared" si="15"/>
        <v/>
      </c>
    </row>
    <row r="82" spans="1:18" hidden="1" outlineLevel="1" x14ac:dyDescent="0.3">
      <c r="A82" s="426" t="s">
        <v>215</v>
      </c>
      <c r="B82" s="418" t="s">
        <v>413</v>
      </c>
      <c r="C82" s="397"/>
      <c r="D82" s="397"/>
      <c r="E82" s="397"/>
      <c r="F82" s="397"/>
      <c r="G82" s="397"/>
      <c r="H82" s="397"/>
      <c r="I82" s="397"/>
      <c r="J82" s="397"/>
      <c r="K82" s="397"/>
      <c r="L82" s="397"/>
      <c r="M82" s="397"/>
      <c r="N82" s="397"/>
      <c r="O82" s="387">
        <f t="shared" si="14"/>
        <v>0</v>
      </c>
      <c r="P82" s="398">
        <f t="shared" si="30"/>
        <v>0</v>
      </c>
      <c r="R82" s="521" t="str">
        <f t="shared" si="15"/>
        <v/>
      </c>
    </row>
    <row r="83" spans="1:18" hidden="1" outlineLevel="1" x14ac:dyDescent="0.3">
      <c r="A83" s="426" t="s">
        <v>210</v>
      </c>
      <c r="B83" s="418" t="s">
        <v>414</v>
      </c>
      <c r="C83" s="397"/>
      <c r="D83" s="397"/>
      <c r="E83" s="397"/>
      <c r="F83" s="397"/>
      <c r="G83" s="397"/>
      <c r="H83" s="397"/>
      <c r="I83" s="397"/>
      <c r="J83" s="397"/>
      <c r="K83" s="397"/>
      <c r="L83" s="397"/>
      <c r="M83" s="397"/>
      <c r="N83" s="397"/>
      <c r="O83" s="387">
        <f t="shared" si="14"/>
        <v>0</v>
      </c>
      <c r="P83" s="398">
        <f t="shared" si="30"/>
        <v>0</v>
      </c>
      <c r="R83" s="521" t="str">
        <f t="shared" si="15"/>
        <v/>
      </c>
    </row>
    <row r="84" spans="1:18" hidden="1" outlineLevel="1" x14ac:dyDescent="0.3">
      <c r="A84" s="426" t="s">
        <v>415</v>
      </c>
      <c r="B84" s="418" t="s">
        <v>416</v>
      </c>
      <c r="C84" s="397"/>
      <c r="D84" s="397"/>
      <c r="E84" s="397"/>
      <c r="F84" s="397"/>
      <c r="G84" s="397"/>
      <c r="H84" s="397"/>
      <c r="I84" s="397"/>
      <c r="J84" s="397"/>
      <c r="K84" s="397"/>
      <c r="L84" s="397"/>
      <c r="M84" s="397"/>
      <c r="N84" s="397"/>
      <c r="O84" s="387">
        <f t="shared" si="14"/>
        <v>0</v>
      </c>
      <c r="P84" s="398">
        <f t="shared" si="30"/>
        <v>0</v>
      </c>
      <c r="R84" s="521" t="str">
        <f t="shared" si="15"/>
        <v/>
      </c>
    </row>
    <row r="85" spans="1:18" hidden="1" outlineLevel="1" x14ac:dyDescent="0.3">
      <c r="A85" s="426"/>
      <c r="B85" s="418" t="s">
        <v>417</v>
      </c>
      <c r="C85" s="397"/>
      <c r="D85" s="397"/>
      <c r="E85" s="397"/>
      <c r="F85" s="397"/>
      <c r="G85" s="397"/>
      <c r="H85" s="397"/>
      <c r="I85" s="397"/>
      <c r="J85" s="397"/>
      <c r="K85" s="397"/>
      <c r="L85" s="397"/>
      <c r="M85" s="397"/>
      <c r="N85" s="397"/>
      <c r="O85" s="387">
        <f t="shared" si="14"/>
        <v>0</v>
      </c>
      <c r="P85" s="398">
        <f t="shared" si="30"/>
        <v>0</v>
      </c>
      <c r="R85" s="521" t="str">
        <f t="shared" si="15"/>
        <v/>
      </c>
    </row>
    <row r="86" spans="1:18" hidden="1" outlineLevel="1" x14ac:dyDescent="0.3">
      <c r="A86" s="426"/>
      <c r="B86" s="418" t="s">
        <v>418</v>
      </c>
      <c r="C86" s="397"/>
      <c r="D86" s="397"/>
      <c r="E86" s="397"/>
      <c r="F86" s="397"/>
      <c r="G86" s="397"/>
      <c r="H86" s="397"/>
      <c r="I86" s="397"/>
      <c r="J86" s="397"/>
      <c r="K86" s="397"/>
      <c r="L86" s="397"/>
      <c r="M86" s="397"/>
      <c r="N86" s="397"/>
      <c r="O86" s="387">
        <f t="shared" si="14"/>
        <v>0</v>
      </c>
      <c r="P86" s="398">
        <f t="shared" si="30"/>
        <v>0</v>
      </c>
      <c r="R86" s="521" t="str">
        <f t="shared" si="15"/>
        <v/>
      </c>
    </row>
    <row r="87" spans="1:18" hidden="1" outlineLevel="1" x14ac:dyDescent="0.3">
      <c r="A87" s="426" t="s">
        <v>419</v>
      </c>
      <c r="B87" s="418" t="s">
        <v>420</v>
      </c>
      <c r="C87" s="397"/>
      <c r="D87" s="397"/>
      <c r="E87" s="397"/>
      <c r="F87" s="397"/>
      <c r="G87" s="397"/>
      <c r="H87" s="397"/>
      <c r="I87" s="397"/>
      <c r="J87" s="397"/>
      <c r="K87" s="397"/>
      <c r="L87" s="397"/>
      <c r="M87" s="397"/>
      <c r="N87" s="397"/>
      <c r="O87" s="387">
        <f t="shared" si="14"/>
        <v>0</v>
      </c>
      <c r="P87" s="398">
        <f t="shared" si="30"/>
        <v>0</v>
      </c>
      <c r="R87" s="521" t="str">
        <f t="shared" si="15"/>
        <v/>
      </c>
    </row>
    <row r="88" spans="1:18" hidden="1" outlineLevel="1" x14ac:dyDescent="0.3">
      <c r="A88" s="426" t="s">
        <v>421</v>
      </c>
      <c r="B88" s="418" t="s">
        <v>422</v>
      </c>
      <c r="C88" s="397"/>
      <c r="D88" s="397"/>
      <c r="E88" s="397"/>
      <c r="F88" s="397"/>
      <c r="G88" s="397"/>
      <c r="H88" s="397"/>
      <c r="I88" s="397"/>
      <c r="J88" s="397"/>
      <c r="K88" s="397"/>
      <c r="L88" s="397"/>
      <c r="M88" s="397"/>
      <c r="N88" s="397"/>
      <c r="O88" s="387">
        <f t="shared" si="14"/>
        <v>0</v>
      </c>
      <c r="P88" s="398">
        <f t="shared" si="30"/>
        <v>0</v>
      </c>
      <c r="R88" s="521" t="str">
        <f t="shared" si="15"/>
        <v/>
      </c>
    </row>
    <row r="89" spans="1:18" hidden="1" outlineLevel="1" x14ac:dyDescent="0.3">
      <c r="A89" s="426" t="s">
        <v>423</v>
      </c>
      <c r="B89" s="418" t="s">
        <v>424</v>
      </c>
      <c r="C89" s="397"/>
      <c r="D89" s="397"/>
      <c r="E89" s="397"/>
      <c r="F89" s="397"/>
      <c r="G89" s="397"/>
      <c r="H89" s="397"/>
      <c r="I89" s="397"/>
      <c r="J89" s="397"/>
      <c r="K89" s="397"/>
      <c r="L89" s="397"/>
      <c r="M89" s="397"/>
      <c r="N89" s="397"/>
      <c r="O89" s="387">
        <f t="shared" si="14"/>
        <v>0</v>
      </c>
      <c r="P89" s="398">
        <f t="shared" si="30"/>
        <v>0</v>
      </c>
      <c r="R89" s="521" t="str">
        <f t="shared" si="15"/>
        <v/>
      </c>
    </row>
    <row r="90" spans="1:18" hidden="1" outlineLevel="1" x14ac:dyDescent="0.3">
      <c r="A90" s="426" t="s">
        <v>219</v>
      </c>
      <c r="B90" s="418" t="s">
        <v>425</v>
      </c>
      <c r="C90" s="397"/>
      <c r="D90" s="397"/>
      <c r="E90" s="397"/>
      <c r="F90" s="397"/>
      <c r="G90" s="397"/>
      <c r="H90" s="397"/>
      <c r="I90" s="397"/>
      <c r="J90" s="397"/>
      <c r="K90" s="397"/>
      <c r="L90" s="397"/>
      <c r="M90" s="397"/>
      <c r="N90" s="397"/>
      <c r="O90" s="387">
        <f t="shared" si="14"/>
        <v>0</v>
      </c>
      <c r="P90" s="398">
        <f t="shared" si="30"/>
        <v>0</v>
      </c>
      <c r="R90" s="521" t="str">
        <f t="shared" si="15"/>
        <v/>
      </c>
    </row>
    <row r="91" spans="1:18" hidden="1" outlineLevel="1" x14ac:dyDescent="0.3">
      <c r="A91" s="426" t="s">
        <v>221</v>
      </c>
      <c r="B91" s="396" t="s">
        <v>426</v>
      </c>
      <c r="C91" s="397"/>
      <c r="D91" s="397"/>
      <c r="E91" s="397"/>
      <c r="F91" s="397"/>
      <c r="G91" s="397"/>
      <c r="H91" s="397"/>
      <c r="I91" s="397"/>
      <c r="J91" s="397"/>
      <c r="K91" s="397"/>
      <c r="L91" s="397"/>
      <c r="M91" s="397"/>
      <c r="N91" s="397"/>
      <c r="O91" s="387">
        <f t="shared" si="14"/>
        <v>0</v>
      </c>
      <c r="P91" s="398">
        <f t="shared" si="30"/>
        <v>0</v>
      </c>
      <c r="R91" s="521" t="str">
        <f t="shared" si="15"/>
        <v/>
      </c>
    </row>
    <row r="92" spans="1:18" hidden="1" outlineLevel="1" x14ac:dyDescent="0.3">
      <c r="A92" s="426" t="s">
        <v>223</v>
      </c>
      <c r="B92" s="418" t="s">
        <v>427</v>
      </c>
      <c r="C92" s="397"/>
      <c r="D92" s="397"/>
      <c r="E92" s="397"/>
      <c r="F92" s="397"/>
      <c r="G92" s="397"/>
      <c r="H92" s="397"/>
      <c r="I92" s="397"/>
      <c r="J92" s="397"/>
      <c r="K92" s="397"/>
      <c r="L92" s="397"/>
      <c r="M92" s="397"/>
      <c r="N92" s="397"/>
      <c r="O92" s="387">
        <f t="shared" si="14"/>
        <v>0</v>
      </c>
      <c r="P92" s="398">
        <f t="shared" si="30"/>
        <v>0</v>
      </c>
      <c r="R92" s="521" t="str">
        <f t="shared" si="15"/>
        <v/>
      </c>
    </row>
    <row r="93" spans="1:18" hidden="1" outlineLevel="1" x14ac:dyDescent="0.3">
      <c r="A93" s="424"/>
      <c r="B93" s="425" t="s">
        <v>428</v>
      </c>
      <c r="C93" s="408">
        <f>SUM(C94:C103)</f>
        <v>0</v>
      </c>
      <c r="D93" s="408">
        <f t="shared" ref="D93:N93" si="31">SUM(D94:D103)</f>
        <v>0</v>
      </c>
      <c r="E93" s="408">
        <f t="shared" si="31"/>
        <v>0</v>
      </c>
      <c r="F93" s="408">
        <f t="shared" si="31"/>
        <v>0</v>
      </c>
      <c r="G93" s="408">
        <f t="shared" si="31"/>
        <v>0</v>
      </c>
      <c r="H93" s="408">
        <f t="shared" si="31"/>
        <v>0</v>
      </c>
      <c r="I93" s="408">
        <f t="shared" si="31"/>
        <v>0</v>
      </c>
      <c r="J93" s="408">
        <f t="shared" si="31"/>
        <v>0</v>
      </c>
      <c r="K93" s="408">
        <f t="shared" si="31"/>
        <v>0</v>
      </c>
      <c r="L93" s="408">
        <f t="shared" si="31"/>
        <v>0</v>
      </c>
      <c r="M93" s="408">
        <f t="shared" si="31"/>
        <v>0</v>
      </c>
      <c r="N93" s="408">
        <f t="shared" si="31"/>
        <v>0</v>
      </c>
      <c r="O93" s="409">
        <f t="shared" si="14"/>
        <v>0</v>
      </c>
      <c r="P93" s="410"/>
      <c r="R93" s="521">
        <f t="shared" ref="R93:R156" si="32">IFERROR(AVERAGE(C93:N93)/AVERAGE($C$5:$N$5),"")</f>
        <v>0</v>
      </c>
    </row>
    <row r="94" spans="1:18" hidden="1" outlineLevel="1" x14ac:dyDescent="0.3">
      <c r="A94" s="426" t="s">
        <v>193</v>
      </c>
      <c r="B94" s="396" t="s">
        <v>429</v>
      </c>
      <c r="C94" s="397"/>
      <c r="D94" s="397"/>
      <c r="E94" s="397"/>
      <c r="F94" s="397"/>
      <c r="G94" s="397"/>
      <c r="H94" s="397"/>
      <c r="I94" s="397"/>
      <c r="J94" s="397"/>
      <c r="K94" s="397"/>
      <c r="L94" s="397"/>
      <c r="M94" s="397"/>
      <c r="N94" s="397"/>
      <c r="O94" s="387">
        <f t="shared" si="14"/>
        <v>0</v>
      </c>
      <c r="P94" s="398">
        <f t="shared" si="30"/>
        <v>0</v>
      </c>
      <c r="R94" s="521" t="str">
        <f t="shared" si="32"/>
        <v/>
      </c>
    </row>
    <row r="95" spans="1:18" hidden="1" outlineLevel="1" x14ac:dyDescent="0.3">
      <c r="A95" s="426" t="s">
        <v>194</v>
      </c>
      <c r="B95" s="396" t="s">
        <v>430</v>
      </c>
      <c r="C95" s="397"/>
      <c r="D95" s="397"/>
      <c r="E95" s="397"/>
      <c r="F95" s="397"/>
      <c r="G95" s="397"/>
      <c r="H95" s="397"/>
      <c r="I95" s="397"/>
      <c r="J95" s="397"/>
      <c r="K95" s="397"/>
      <c r="L95" s="397"/>
      <c r="M95" s="397"/>
      <c r="N95" s="397"/>
      <c r="O95" s="387">
        <f t="shared" si="14"/>
        <v>0</v>
      </c>
      <c r="P95" s="398">
        <f t="shared" si="30"/>
        <v>0</v>
      </c>
      <c r="R95" s="521" t="str">
        <f t="shared" si="32"/>
        <v/>
      </c>
    </row>
    <row r="96" spans="1:18" hidden="1" outlineLevel="1" x14ac:dyDescent="0.3">
      <c r="A96" s="426" t="s">
        <v>195</v>
      </c>
      <c r="B96" s="396" t="s">
        <v>431</v>
      </c>
      <c r="C96" s="397"/>
      <c r="D96" s="397"/>
      <c r="E96" s="397"/>
      <c r="F96" s="397"/>
      <c r="G96" s="397"/>
      <c r="H96" s="397"/>
      <c r="I96" s="397"/>
      <c r="J96" s="397"/>
      <c r="K96" s="397"/>
      <c r="L96" s="397"/>
      <c r="M96" s="397"/>
      <c r="N96" s="397"/>
      <c r="O96" s="387">
        <f t="shared" ref="O96:O157" si="33">SUM(C96:N96)</f>
        <v>0</v>
      </c>
      <c r="P96" s="398">
        <f t="shared" si="30"/>
        <v>0</v>
      </c>
      <c r="R96" s="521" t="str">
        <f t="shared" si="32"/>
        <v/>
      </c>
    </row>
    <row r="97" spans="1:18" hidden="1" outlineLevel="1" x14ac:dyDescent="0.3">
      <c r="A97" s="426" t="s">
        <v>196</v>
      </c>
      <c r="B97" s="418" t="s">
        <v>432</v>
      </c>
      <c r="C97" s="397"/>
      <c r="D97" s="397"/>
      <c r="E97" s="397"/>
      <c r="F97" s="397"/>
      <c r="G97" s="397"/>
      <c r="H97" s="397"/>
      <c r="I97" s="397"/>
      <c r="J97" s="397"/>
      <c r="K97" s="397"/>
      <c r="L97" s="397"/>
      <c r="M97" s="397"/>
      <c r="N97" s="397"/>
      <c r="O97" s="387">
        <f t="shared" si="33"/>
        <v>0</v>
      </c>
      <c r="P97" s="398">
        <f t="shared" si="30"/>
        <v>0</v>
      </c>
      <c r="R97" s="521" t="str">
        <f t="shared" si="32"/>
        <v/>
      </c>
    </row>
    <row r="98" spans="1:18" hidden="1" outlineLevel="1" x14ac:dyDescent="0.3">
      <c r="A98" s="426" t="s">
        <v>197</v>
      </c>
      <c r="B98" s="418" t="s">
        <v>433</v>
      </c>
      <c r="C98" s="397"/>
      <c r="D98" s="397"/>
      <c r="E98" s="397"/>
      <c r="F98" s="397"/>
      <c r="G98" s="397"/>
      <c r="H98" s="397"/>
      <c r="I98" s="397"/>
      <c r="J98" s="397"/>
      <c r="K98" s="397"/>
      <c r="L98" s="397"/>
      <c r="M98" s="397"/>
      <c r="N98" s="397"/>
      <c r="O98" s="387">
        <f t="shared" si="33"/>
        <v>0</v>
      </c>
      <c r="P98" s="398">
        <f t="shared" si="30"/>
        <v>0</v>
      </c>
      <c r="R98" s="521" t="str">
        <f t="shared" si="32"/>
        <v/>
      </c>
    </row>
    <row r="99" spans="1:18" hidden="1" outlineLevel="1" x14ac:dyDescent="0.3">
      <c r="A99" s="426" t="s">
        <v>198</v>
      </c>
      <c r="B99" s="418" t="s">
        <v>434</v>
      </c>
      <c r="C99" s="397"/>
      <c r="D99" s="397"/>
      <c r="E99" s="397"/>
      <c r="F99" s="397"/>
      <c r="G99" s="397"/>
      <c r="H99" s="397"/>
      <c r="I99" s="397"/>
      <c r="J99" s="397"/>
      <c r="K99" s="397"/>
      <c r="L99" s="397"/>
      <c r="M99" s="397"/>
      <c r="N99" s="397"/>
      <c r="O99" s="387">
        <f t="shared" si="33"/>
        <v>0</v>
      </c>
      <c r="P99" s="398">
        <f t="shared" si="30"/>
        <v>0</v>
      </c>
      <c r="R99" s="521" t="str">
        <f t="shared" si="32"/>
        <v/>
      </c>
    </row>
    <row r="100" spans="1:18" hidden="1" outlineLevel="1" x14ac:dyDescent="0.3">
      <c r="A100" s="426" t="s">
        <v>199</v>
      </c>
      <c r="B100" s="418" t="s">
        <v>435</v>
      </c>
      <c r="C100" s="397"/>
      <c r="D100" s="397"/>
      <c r="E100" s="397"/>
      <c r="F100" s="397"/>
      <c r="G100" s="397"/>
      <c r="H100" s="397"/>
      <c r="I100" s="397"/>
      <c r="J100" s="397"/>
      <c r="K100" s="397"/>
      <c r="L100" s="397"/>
      <c r="M100" s="397"/>
      <c r="N100" s="397"/>
      <c r="O100" s="387">
        <f t="shared" si="33"/>
        <v>0</v>
      </c>
      <c r="P100" s="398">
        <f t="shared" si="30"/>
        <v>0</v>
      </c>
      <c r="R100" s="521" t="str">
        <f t="shared" si="32"/>
        <v/>
      </c>
    </row>
    <row r="101" spans="1:18" hidden="1" outlineLevel="1" x14ac:dyDescent="0.3">
      <c r="A101" s="426" t="s">
        <v>436</v>
      </c>
      <c r="B101" s="418" t="s">
        <v>437</v>
      </c>
      <c r="C101" s="397"/>
      <c r="D101" s="397"/>
      <c r="E101" s="397"/>
      <c r="F101" s="397"/>
      <c r="G101" s="397"/>
      <c r="H101" s="397"/>
      <c r="I101" s="397"/>
      <c r="J101" s="397"/>
      <c r="K101" s="397"/>
      <c r="L101" s="397"/>
      <c r="M101" s="397"/>
      <c r="N101" s="397"/>
      <c r="O101" s="387">
        <f t="shared" si="33"/>
        <v>0</v>
      </c>
      <c r="P101" s="398">
        <f t="shared" si="30"/>
        <v>0</v>
      </c>
      <c r="R101" s="521" t="str">
        <f t="shared" si="32"/>
        <v/>
      </c>
    </row>
    <row r="102" spans="1:18" hidden="1" outlineLevel="1" x14ac:dyDescent="0.3">
      <c r="A102" s="426"/>
      <c r="B102" s="418" t="s">
        <v>438</v>
      </c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387">
        <f t="shared" si="33"/>
        <v>0</v>
      </c>
      <c r="P102" s="398">
        <f t="shared" si="30"/>
        <v>0</v>
      </c>
      <c r="R102" s="521" t="str">
        <f t="shared" si="32"/>
        <v/>
      </c>
    </row>
    <row r="103" spans="1:18" hidden="1" outlineLevel="1" x14ac:dyDescent="0.3">
      <c r="A103" s="428" t="s">
        <v>439</v>
      </c>
      <c r="B103" s="429" t="s">
        <v>440</v>
      </c>
      <c r="C103" s="401"/>
      <c r="D103" s="401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2">
        <f t="shared" si="33"/>
        <v>0</v>
      </c>
      <c r="P103" s="398">
        <f t="shared" si="30"/>
        <v>0</v>
      </c>
      <c r="R103" s="521" t="str">
        <f t="shared" si="32"/>
        <v/>
      </c>
    </row>
    <row r="104" spans="1:18" ht="18" customHeight="1" collapsed="1" x14ac:dyDescent="0.3">
      <c r="A104" s="422"/>
      <c r="B104" s="423" t="s">
        <v>441</v>
      </c>
      <c r="C104" s="392">
        <f>SUM(C105+C126+C133+C146+C152+C164)</f>
        <v>1063.6423250000003</v>
      </c>
      <c r="D104" s="392">
        <f t="shared" ref="D104:M104" si="34">SUM(D105+D126+D133+D146+D152+D164)</f>
        <v>1036.45090644125</v>
      </c>
      <c r="E104" s="392">
        <f t="shared" si="34"/>
        <v>1031.2139492426563</v>
      </c>
      <c r="F104" s="392">
        <f t="shared" si="34"/>
        <v>1031.9850266114531</v>
      </c>
      <c r="G104" s="392">
        <f t="shared" si="34"/>
        <v>981.17430879612573</v>
      </c>
      <c r="H104" s="392">
        <f t="shared" si="34"/>
        <v>1001.1051828122472</v>
      </c>
      <c r="I104" s="392">
        <f t="shared" si="34"/>
        <v>1114.3199715935498</v>
      </c>
      <c r="J104" s="392">
        <f t="shared" si="34"/>
        <v>1049.965087041428</v>
      </c>
      <c r="K104" s="392">
        <f t="shared" si="34"/>
        <v>1016.607119156634</v>
      </c>
      <c r="L104" s="392">
        <f t="shared" si="34"/>
        <v>1046.1558863910543</v>
      </c>
      <c r="M104" s="392">
        <f t="shared" si="34"/>
        <v>1075.239995978573</v>
      </c>
      <c r="N104" s="392">
        <f>SUM(N105+N126+N133+N146+N152+N164)</f>
        <v>2476.5309296973792</v>
      </c>
      <c r="O104" s="393">
        <f t="shared" si="33"/>
        <v>13924.390688762349</v>
      </c>
      <c r="P104" s="394">
        <f>SUM(O104/O27)</f>
        <v>0.33640115857024228</v>
      </c>
      <c r="R104" s="521">
        <f t="shared" si="32"/>
        <v>12.020179042345031</v>
      </c>
    </row>
    <row r="105" spans="1:18" hidden="1" outlineLevel="1" x14ac:dyDescent="0.3">
      <c r="A105" s="424"/>
      <c r="B105" s="425" t="s">
        <v>442</v>
      </c>
      <c r="C105" s="408">
        <f t="shared" ref="C105:N105" si="35">SUM(C106:C125)</f>
        <v>496.25750000000005</v>
      </c>
      <c r="D105" s="408">
        <f t="shared" si="35"/>
        <v>495.51685625000005</v>
      </c>
      <c r="E105" s="408">
        <f t="shared" si="35"/>
        <v>494.77806410937501</v>
      </c>
      <c r="F105" s="408">
        <f t="shared" si="35"/>
        <v>494.04111894910159</v>
      </c>
      <c r="G105" s="408">
        <f t="shared" si="35"/>
        <v>464.50601615172883</v>
      </c>
      <c r="H105" s="408">
        <f t="shared" si="35"/>
        <v>463.84475111134947</v>
      </c>
      <c r="I105" s="408">
        <f t="shared" si="35"/>
        <v>529.51271178665547</v>
      </c>
      <c r="J105" s="408">
        <f t="shared" si="35"/>
        <v>495.68893000718884</v>
      </c>
      <c r="K105" s="408">
        <f t="shared" si="35"/>
        <v>469.44970768217081</v>
      </c>
      <c r="L105" s="408">
        <f t="shared" si="35"/>
        <v>483.52464326003405</v>
      </c>
      <c r="M105" s="408">
        <f t="shared" si="35"/>
        <v>497.56439149895266</v>
      </c>
      <c r="N105" s="408">
        <f t="shared" si="35"/>
        <v>490.56904036727383</v>
      </c>
      <c r="O105" s="409">
        <f t="shared" si="33"/>
        <v>5875.2537311738306</v>
      </c>
      <c r="P105" s="410"/>
      <c r="R105" s="521">
        <f t="shared" si="32"/>
        <v>5.071791171796848</v>
      </c>
    </row>
    <row r="106" spans="1:18" hidden="1" outlineLevel="1" x14ac:dyDescent="0.3">
      <c r="A106" s="426" t="s">
        <v>443</v>
      </c>
      <c r="B106" s="396" t="s">
        <v>444</v>
      </c>
      <c r="C106" s="397"/>
      <c r="D106" s="397"/>
      <c r="E106" s="397"/>
      <c r="F106" s="397"/>
      <c r="G106" s="397"/>
      <c r="H106" s="397"/>
      <c r="I106" s="397"/>
      <c r="J106" s="397"/>
      <c r="K106" s="397"/>
      <c r="L106" s="397"/>
      <c r="M106" s="397"/>
      <c r="N106" s="397"/>
      <c r="O106" s="387">
        <f t="shared" si="33"/>
        <v>0</v>
      </c>
      <c r="P106" s="398">
        <f t="shared" ref="P106:P151" si="36">SUM(O106/$O$27)</f>
        <v>0</v>
      </c>
      <c r="R106" s="521" t="str">
        <f t="shared" si="32"/>
        <v/>
      </c>
    </row>
    <row r="107" spans="1:18" hidden="1" outlineLevel="1" x14ac:dyDescent="0.3">
      <c r="A107" s="426"/>
      <c r="B107" s="396" t="s">
        <v>445</v>
      </c>
      <c r="C107" s="397"/>
      <c r="D107" s="397"/>
      <c r="E107" s="397"/>
      <c r="F107" s="397"/>
      <c r="G107" s="397"/>
      <c r="H107" s="397"/>
      <c r="I107" s="397"/>
      <c r="J107" s="397"/>
      <c r="K107" s="397"/>
      <c r="L107" s="397"/>
      <c r="M107" s="397"/>
      <c r="N107" s="397"/>
      <c r="O107" s="387">
        <f t="shared" si="33"/>
        <v>0</v>
      </c>
      <c r="P107" s="398">
        <f t="shared" si="36"/>
        <v>0</v>
      </c>
      <c r="R107" s="521" t="str">
        <f t="shared" si="32"/>
        <v/>
      </c>
    </row>
    <row r="108" spans="1:18" hidden="1" outlineLevel="1" x14ac:dyDescent="0.3">
      <c r="A108" s="426" t="s">
        <v>446</v>
      </c>
      <c r="B108" s="396" t="s">
        <v>447</v>
      </c>
      <c r="C108" s="499"/>
      <c r="D108" s="499"/>
      <c r="E108" s="499"/>
      <c r="F108" s="499"/>
      <c r="G108" s="499"/>
      <c r="H108" s="499"/>
      <c r="I108" s="499"/>
      <c r="J108" s="499"/>
      <c r="K108" s="499"/>
      <c r="L108" s="499"/>
      <c r="M108" s="499"/>
      <c r="N108" s="499"/>
      <c r="O108" s="387">
        <f t="shared" si="33"/>
        <v>0</v>
      </c>
      <c r="P108" s="398">
        <f t="shared" si="36"/>
        <v>0</v>
      </c>
      <c r="R108" s="521" t="str">
        <f t="shared" si="32"/>
        <v/>
      </c>
    </row>
    <row r="109" spans="1:18" hidden="1" outlineLevel="1" x14ac:dyDescent="0.3">
      <c r="A109" s="426" t="s">
        <v>448</v>
      </c>
      <c r="B109" s="418" t="s">
        <v>449</v>
      </c>
      <c r="C109" s="498"/>
      <c r="D109" s="498"/>
      <c r="E109" s="498"/>
      <c r="F109" s="498"/>
      <c r="G109" s="498"/>
      <c r="H109" s="498"/>
      <c r="I109" s="498"/>
      <c r="J109" s="498"/>
      <c r="K109" s="498"/>
      <c r="L109" s="498"/>
      <c r="M109" s="498"/>
      <c r="N109" s="498"/>
      <c r="O109" s="387">
        <f t="shared" si="33"/>
        <v>0</v>
      </c>
      <c r="P109" s="398">
        <f t="shared" si="36"/>
        <v>0</v>
      </c>
      <c r="R109" s="521" t="str">
        <f t="shared" si="32"/>
        <v/>
      </c>
    </row>
    <row r="110" spans="1:18" hidden="1" outlineLevel="1" x14ac:dyDescent="0.3">
      <c r="A110" s="426" t="s">
        <v>450</v>
      </c>
      <c r="B110" s="418" t="s">
        <v>161</v>
      </c>
      <c r="C110" s="397">
        <f>3*C5</f>
        <v>296.25750000000005</v>
      </c>
      <c r="D110" s="397">
        <f t="shared" ref="D110:N110" si="37">3*D5</f>
        <v>295.51685625000005</v>
      </c>
      <c r="E110" s="397">
        <f t="shared" si="37"/>
        <v>294.77806410937501</v>
      </c>
      <c r="F110" s="397">
        <f t="shared" si="37"/>
        <v>294.04111894910159</v>
      </c>
      <c r="G110" s="397">
        <f t="shared" si="37"/>
        <v>264.50601615172883</v>
      </c>
      <c r="H110" s="397">
        <f t="shared" si="37"/>
        <v>263.84475111134947</v>
      </c>
      <c r="I110" s="397">
        <f t="shared" si="37"/>
        <v>329.51271178665547</v>
      </c>
      <c r="J110" s="397">
        <f t="shared" si="37"/>
        <v>295.68893000718884</v>
      </c>
      <c r="K110" s="397">
        <f t="shared" si="37"/>
        <v>269.44970768217081</v>
      </c>
      <c r="L110" s="397">
        <f t="shared" si="37"/>
        <v>283.52464326003405</v>
      </c>
      <c r="M110" s="397">
        <f t="shared" si="37"/>
        <v>297.56439149895266</v>
      </c>
      <c r="N110" s="397">
        <f t="shared" si="37"/>
        <v>290.56904036727383</v>
      </c>
      <c r="O110" s="387">
        <f t="shared" si="33"/>
        <v>3475.2537311738306</v>
      </c>
      <c r="P110" s="398">
        <f t="shared" si="36"/>
        <v>8.3959105114447638E-2</v>
      </c>
      <c r="R110" s="521">
        <f t="shared" si="32"/>
        <v>3</v>
      </c>
    </row>
    <row r="111" spans="1:18" hidden="1" outlineLevel="1" x14ac:dyDescent="0.3">
      <c r="A111" s="426" t="s">
        <v>451</v>
      </c>
      <c r="B111" s="396" t="s">
        <v>163</v>
      </c>
      <c r="C111" s="397"/>
      <c r="D111" s="397"/>
      <c r="E111" s="397"/>
      <c r="F111" s="397"/>
      <c r="G111" s="397"/>
      <c r="H111" s="397"/>
      <c r="I111" s="397"/>
      <c r="J111" s="397"/>
      <c r="K111" s="397"/>
      <c r="L111" s="397"/>
      <c r="M111" s="397"/>
      <c r="N111" s="397"/>
      <c r="O111" s="387">
        <f t="shared" si="33"/>
        <v>0</v>
      </c>
      <c r="P111" s="398">
        <f t="shared" si="36"/>
        <v>0</v>
      </c>
      <c r="R111" s="521" t="str">
        <f t="shared" si="32"/>
        <v/>
      </c>
    </row>
    <row r="112" spans="1:18" hidden="1" outlineLevel="1" x14ac:dyDescent="0.3">
      <c r="A112" s="426" t="s">
        <v>452</v>
      </c>
      <c r="B112" s="418" t="s">
        <v>165</v>
      </c>
      <c r="C112" s="397"/>
      <c r="D112" s="397"/>
      <c r="E112" s="397"/>
      <c r="F112" s="397"/>
      <c r="G112" s="397"/>
      <c r="H112" s="397"/>
      <c r="I112" s="397"/>
      <c r="J112" s="397"/>
      <c r="K112" s="397"/>
      <c r="L112" s="397"/>
      <c r="M112" s="397"/>
      <c r="N112" s="397"/>
      <c r="O112" s="387">
        <f t="shared" si="33"/>
        <v>0</v>
      </c>
      <c r="P112" s="398">
        <f t="shared" si="36"/>
        <v>0</v>
      </c>
      <c r="R112" s="521" t="str">
        <f t="shared" si="32"/>
        <v/>
      </c>
    </row>
    <row r="113" spans="1:18" hidden="1" outlineLevel="1" x14ac:dyDescent="0.3">
      <c r="A113" s="426" t="s">
        <v>453</v>
      </c>
      <c r="B113" s="396" t="s">
        <v>167</v>
      </c>
      <c r="C113" s="397">
        <v>200</v>
      </c>
      <c r="D113" s="397">
        <v>200</v>
      </c>
      <c r="E113" s="397">
        <v>200</v>
      </c>
      <c r="F113" s="397">
        <v>200</v>
      </c>
      <c r="G113" s="397">
        <v>200</v>
      </c>
      <c r="H113" s="397">
        <v>200</v>
      </c>
      <c r="I113" s="397">
        <v>200</v>
      </c>
      <c r="J113" s="397">
        <v>200</v>
      </c>
      <c r="K113" s="397">
        <v>200</v>
      </c>
      <c r="L113" s="397">
        <v>200</v>
      </c>
      <c r="M113" s="397">
        <v>200</v>
      </c>
      <c r="N113" s="397">
        <v>200</v>
      </c>
      <c r="O113" s="387">
        <f t="shared" si="33"/>
        <v>2400</v>
      </c>
      <c r="P113" s="398">
        <f t="shared" si="36"/>
        <v>5.7981910922692073E-2</v>
      </c>
      <c r="R113" s="521">
        <f t="shared" si="32"/>
        <v>2.0717911717968485</v>
      </c>
    </row>
    <row r="114" spans="1:18" hidden="1" outlineLevel="1" x14ac:dyDescent="0.3">
      <c r="A114" s="426" t="s">
        <v>454</v>
      </c>
      <c r="B114" s="396" t="s">
        <v>169</v>
      </c>
      <c r="C114" s="397"/>
      <c r="D114" s="397"/>
      <c r="E114" s="397"/>
      <c r="F114" s="397"/>
      <c r="G114" s="397"/>
      <c r="H114" s="397"/>
      <c r="I114" s="397"/>
      <c r="J114" s="397"/>
      <c r="K114" s="397"/>
      <c r="L114" s="397"/>
      <c r="M114" s="397"/>
      <c r="N114" s="397"/>
      <c r="O114" s="387">
        <f t="shared" si="33"/>
        <v>0</v>
      </c>
      <c r="P114" s="398">
        <f t="shared" si="36"/>
        <v>0</v>
      </c>
      <c r="R114" s="521" t="str">
        <f t="shared" si="32"/>
        <v/>
      </c>
    </row>
    <row r="115" spans="1:18" hidden="1" outlineLevel="1" x14ac:dyDescent="0.3">
      <c r="A115" s="426" t="s">
        <v>455</v>
      </c>
      <c r="B115" s="430" t="s">
        <v>456</v>
      </c>
      <c r="C115" s="397"/>
      <c r="D115" s="397"/>
      <c r="E115" s="397"/>
      <c r="F115" s="397"/>
      <c r="G115" s="397"/>
      <c r="H115" s="397"/>
      <c r="I115" s="397"/>
      <c r="J115" s="397"/>
      <c r="K115" s="397"/>
      <c r="L115" s="397"/>
      <c r="M115" s="397"/>
      <c r="N115" s="397"/>
      <c r="O115" s="387">
        <f t="shared" si="33"/>
        <v>0</v>
      </c>
      <c r="P115" s="398">
        <f t="shared" si="36"/>
        <v>0</v>
      </c>
      <c r="R115" s="521" t="str">
        <f t="shared" si="32"/>
        <v/>
      </c>
    </row>
    <row r="116" spans="1:18" hidden="1" outlineLevel="1" x14ac:dyDescent="0.3">
      <c r="A116" s="426" t="s">
        <v>457</v>
      </c>
      <c r="B116" s="396" t="s">
        <v>458</v>
      </c>
      <c r="C116" s="397"/>
      <c r="D116" s="397"/>
      <c r="E116" s="397"/>
      <c r="F116" s="397"/>
      <c r="G116" s="397"/>
      <c r="H116" s="397"/>
      <c r="I116" s="397"/>
      <c r="J116" s="397"/>
      <c r="K116" s="397"/>
      <c r="L116" s="397"/>
      <c r="M116" s="397"/>
      <c r="N116" s="397"/>
      <c r="O116" s="387">
        <f t="shared" si="33"/>
        <v>0</v>
      </c>
      <c r="P116" s="398">
        <f t="shared" si="36"/>
        <v>0</v>
      </c>
      <c r="R116" s="521" t="str">
        <f t="shared" si="32"/>
        <v/>
      </c>
    </row>
    <row r="117" spans="1:18" hidden="1" outlineLevel="1" x14ac:dyDescent="0.3">
      <c r="A117" s="426" t="s">
        <v>459</v>
      </c>
      <c r="B117" s="418" t="s">
        <v>228</v>
      </c>
      <c r="C117" s="397"/>
      <c r="D117" s="397"/>
      <c r="E117" s="397"/>
      <c r="F117" s="397"/>
      <c r="G117" s="397"/>
      <c r="H117" s="397"/>
      <c r="I117" s="397"/>
      <c r="J117" s="397"/>
      <c r="K117" s="397"/>
      <c r="L117" s="397"/>
      <c r="M117" s="397"/>
      <c r="N117" s="397"/>
      <c r="O117" s="387">
        <f t="shared" si="33"/>
        <v>0</v>
      </c>
      <c r="P117" s="398">
        <f>SUM(O117/$O$27)</f>
        <v>0</v>
      </c>
      <c r="R117" s="521" t="str">
        <f t="shared" si="32"/>
        <v/>
      </c>
    </row>
    <row r="118" spans="1:18" hidden="1" outlineLevel="1" x14ac:dyDescent="0.3">
      <c r="A118" s="426" t="s">
        <v>460</v>
      </c>
      <c r="B118" s="418" t="s">
        <v>461</v>
      </c>
      <c r="C118" s="397"/>
      <c r="D118" s="397"/>
      <c r="E118" s="397"/>
      <c r="F118" s="397"/>
      <c r="G118" s="397"/>
      <c r="H118" s="397"/>
      <c r="I118" s="397"/>
      <c r="J118" s="397"/>
      <c r="K118" s="397"/>
      <c r="L118" s="397"/>
      <c r="M118" s="397"/>
      <c r="N118" s="397"/>
      <c r="O118" s="387">
        <f t="shared" si="33"/>
        <v>0</v>
      </c>
      <c r="P118" s="398">
        <f t="shared" si="36"/>
        <v>0</v>
      </c>
      <c r="R118" s="521" t="str">
        <f t="shared" si="32"/>
        <v/>
      </c>
    </row>
    <row r="119" spans="1:18" hidden="1" outlineLevel="1" x14ac:dyDescent="0.3">
      <c r="A119" s="426" t="s">
        <v>462</v>
      </c>
      <c r="B119" s="396" t="s">
        <v>463</v>
      </c>
      <c r="C119" s="397"/>
      <c r="D119" s="397"/>
      <c r="E119" s="397"/>
      <c r="F119" s="397"/>
      <c r="G119" s="397"/>
      <c r="H119" s="397"/>
      <c r="I119" s="397"/>
      <c r="J119" s="397"/>
      <c r="K119" s="397"/>
      <c r="L119" s="397"/>
      <c r="M119" s="397"/>
      <c r="N119" s="397"/>
      <c r="O119" s="387">
        <f t="shared" si="33"/>
        <v>0</v>
      </c>
      <c r="P119" s="398">
        <f t="shared" si="36"/>
        <v>0</v>
      </c>
      <c r="R119" s="521" t="str">
        <f t="shared" si="32"/>
        <v/>
      </c>
    </row>
    <row r="120" spans="1:18" hidden="1" outlineLevel="1" x14ac:dyDescent="0.3">
      <c r="A120" s="426" t="s">
        <v>464</v>
      </c>
      <c r="B120" s="418" t="s">
        <v>175</v>
      </c>
      <c r="C120" s="397"/>
      <c r="D120" s="397"/>
      <c r="E120" s="397"/>
      <c r="F120" s="397"/>
      <c r="G120" s="397"/>
      <c r="H120" s="397"/>
      <c r="I120" s="397"/>
      <c r="J120" s="397"/>
      <c r="K120" s="397"/>
      <c r="L120" s="397"/>
      <c r="M120" s="397"/>
      <c r="N120" s="397"/>
      <c r="O120" s="387">
        <f t="shared" si="33"/>
        <v>0</v>
      </c>
      <c r="P120" s="398">
        <f t="shared" si="36"/>
        <v>0</v>
      </c>
      <c r="R120" s="521" t="str">
        <f t="shared" si="32"/>
        <v/>
      </c>
    </row>
    <row r="121" spans="1:18" hidden="1" outlineLevel="1" x14ac:dyDescent="0.3">
      <c r="A121" s="426" t="s">
        <v>465</v>
      </c>
      <c r="B121" s="396" t="s">
        <v>466</v>
      </c>
      <c r="C121" s="397"/>
      <c r="D121" s="397"/>
      <c r="E121" s="397"/>
      <c r="F121" s="397"/>
      <c r="G121" s="397"/>
      <c r="H121" s="397"/>
      <c r="I121" s="397"/>
      <c r="J121" s="397"/>
      <c r="K121" s="397"/>
      <c r="L121" s="397"/>
      <c r="M121" s="397"/>
      <c r="N121" s="397"/>
      <c r="O121" s="387">
        <f t="shared" si="33"/>
        <v>0</v>
      </c>
      <c r="P121" s="398">
        <f t="shared" si="36"/>
        <v>0</v>
      </c>
      <c r="R121" s="521" t="str">
        <f t="shared" si="32"/>
        <v/>
      </c>
    </row>
    <row r="122" spans="1:18" hidden="1" outlineLevel="1" x14ac:dyDescent="0.3">
      <c r="A122" s="426" t="s">
        <v>467</v>
      </c>
      <c r="B122" s="396" t="s">
        <v>468</v>
      </c>
      <c r="C122" s="397"/>
      <c r="D122" s="397"/>
      <c r="E122" s="397"/>
      <c r="F122" s="397"/>
      <c r="G122" s="397"/>
      <c r="H122" s="397"/>
      <c r="I122" s="397"/>
      <c r="J122" s="397"/>
      <c r="K122" s="397"/>
      <c r="L122" s="397"/>
      <c r="M122" s="397"/>
      <c r="N122" s="397"/>
      <c r="O122" s="387">
        <f t="shared" si="33"/>
        <v>0</v>
      </c>
      <c r="P122" s="398">
        <f t="shared" si="36"/>
        <v>0</v>
      </c>
      <c r="R122" s="521" t="str">
        <f t="shared" si="32"/>
        <v/>
      </c>
    </row>
    <row r="123" spans="1:18" hidden="1" outlineLevel="1" x14ac:dyDescent="0.3">
      <c r="A123" s="426" t="s">
        <v>469</v>
      </c>
      <c r="B123" s="396" t="s">
        <v>470</v>
      </c>
      <c r="C123" s="397"/>
      <c r="D123" s="397"/>
      <c r="E123" s="397"/>
      <c r="F123" s="397"/>
      <c r="G123" s="397"/>
      <c r="H123" s="397"/>
      <c r="I123" s="397"/>
      <c r="J123" s="397"/>
      <c r="K123" s="397"/>
      <c r="L123" s="397"/>
      <c r="M123" s="397"/>
      <c r="N123" s="397"/>
      <c r="O123" s="387">
        <f t="shared" si="33"/>
        <v>0</v>
      </c>
      <c r="P123" s="398">
        <f t="shared" si="36"/>
        <v>0</v>
      </c>
      <c r="R123" s="521" t="str">
        <f t="shared" si="32"/>
        <v/>
      </c>
    </row>
    <row r="124" spans="1:18" hidden="1" outlineLevel="1" x14ac:dyDescent="0.3">
      <c r="A124" s="426" t="s">
        <v>471</v>
      </c>
      <c r="B124" s="418" t="s">
        <v>472</v>
      </c>
      <c r="C124" s="397"/>
      <c r="D124" s="397"/>
      <c r="E124" s="397"/>
      <c r="F124" s="397"/>
      <c r="G124" s="397"/>
      <c r="H124" s="397"/>
      <c r="I124" s="397"/>
      <c r="J124" s="397"/>
      <c r="K124" s="397"/>
      <c r="L124" s="397"/>
      <c r="M124" s="397"/>
      <c r="N124" s="397"/>
      <c r="O124" s="387">
        <f t="shared" si="33"/>
        <v>0</v>
      </c>
      <c r="P124" s="398">
        <f t="shared" si="36"/>
        <v>0</v>
      </c>
      <c r="R124" s="521" t="str">
        <f t="shared" si="32"/>
        <v/>
      </c>
    </row>
    <row r="125" spans="1:18" hidden="1" outlineLevel="1" x14ac:dyDescent="0.3">
      <c r="A125" s="426" t="s">
        <v>473</v>
      </c>
      <c r="B125" s="418" t="s">
        <v>474</v>
      </c>
      <c r="C125" s="397"/>
      <c r="D125" s="397"/>
      <c r="E125" s="397"/>
      <c r="F125" s="397"/>
      <c r="G125" s="397"/>
      <c r="H125" s="397"/>
      <c r="I125" s="397"/>
      <c r="J125" s="397"/>
      <c r="K125" s="397"/>
      <c r="L125" s="397"/>
      <c r="M125" s="397"/>
      <c r="N125" s="397"/>
      <c r="O125" s="387">
        <f t="shared" si="33"/>
        <v>0</v>
      </c>
      <c r="P125" s="398">
        <f t="shared" si="36"/>
        <v>0</v>
      </c>
      <c r="R125" s="521" t="str">
        <f t="shared" si="32"/>
        <v/>
      </c>
    </row>
    <row r="126" spans="1:18" hidden="1" outlineLevel="1" x14ac:dyDescent="0.3">
      <c r="A126" s="424" t="s">
        <v>153</v>
      </c>
      <c r="B126" s="425" t="s">
        <v>475</v>
      </c>
      <c r="C126" s="408">
        <f>SUM(C127:C132)</f>
        <v>296.25750000000005</v>
      </c>
      <c r="D126" s="408">
        <f t="shared" ref="D126:N126" si="38">SUM(D127:D132)</f>
        <v>295.51685625000005</v>
      </c>
      <c r="E126" s="408">
        <f t="shared" si="38"/>
        <v>294.77806410937501</v>
      </c>
      <c r="F126" s="408">
        <f t="shared" si="38"/>
        <v>294.04111894910159</v>
      </c>
      <c r="G126" s="408">
        <f t="shared" si="38"/>
        <v>264.50601615172883</v>
      </c>
      <c r="H126" s="408">
        <f t="shared" si="38"/>
        <v>263.84475111134947</v>
      </c>
      <c r="I126" s="408">
        <f t="shared" si="38"/>
        <v>329.51271178665547</v>
      </c>
      <c r="J126" s="408">
        <f t="shared" si="38"/>
        <v>295.68893000718884</v>
      </c>
      <c r="K126" s="408">
        <f t="shared" si="38"/>
        <v>269.44970768217081</v>
      </c>
      <c r="L126" s="408">
        <f t="shared" si="38"/>
        <v>283.52464326003405</v>
      </c>
      <c r="M126" s="408">
        <f t="shared" si="38"/>
        <v>297.56439149895266</v>
      </c>
      <c r="N126" s="408">
        <f t="shared" si="38"/>
        <v>290.56904036727383</v>
      </c>
      <c r="O126" s="409">
        <f t="shared" si="33"/>
        <v>3475.2537311738306</v>
      </c>
      <c r="P126" s="398">
        <f t="shared" si="36"/>
        <v>8.3959105114447638E-2</v>
      </c>
      <c r="R126" s="521">
        <f t="shared" si="32"/>
        <v>3</v>
      </c>
    </row>
    <row r="127" spans="1:18" hidden="1" outlineLevel="1" x14ac:dyDescent="0.3">
      <c r="A127" s="426" t="s">
        <v>476</v>
      </c>
      <c r="B127" s="396" t="s">
        <v>171</v>
      </c>
      <c r="C127" s="417">
        <f>3*C5</f>
        <v>296.25750000000005</v>
      </c>
      <c r="D127" s="417">
        <f t="shared" ref="D127:N127" si="39">3*D5</f>
        <v>295.51685625000005</v>
      </c>
      <c r="E127" s="417">
        <f t="shared" si="39"/>
        <v>294.77806410937501</v>
      </c>
      <c r="F127" s="417">
        <f t="shared" si="39"/>
        <v>294.04111894910159</v>
      </c>
      <c r="G127" s="417">
        <f t="shared" si="39"/>
        <v>264.50601615172883</v>
      </c>
      <c r="H127" s="417">
        <f t="shared" si="39"/>
        <v>263.84475111134947</v>
      </c>
      <c r="I127" s="417">
        <f t="shared" si="39"/>
        <v>329.51271178665547</v>
      </c>
      <c r="J127" s="417">
        <f t="shared" si="39"/>
        <v>295.68893000718884</v>
      </c>
      <c r="K127" s="417">
        <f t="shared" si="39"/>
        <v>269.44970768217081</v>
      </c>
      <c r="L127" s="417">
        <f t="shared" si="39"/>
        <v>283.52464326003405</v>
      </c>
      <c r="M127" s="417">
        <f t="shared" si="39"/>
        <v>297.56439149895266</v>
      </c>
      <c r="N127" s="417">
        <f t="shared" si="39"/>
        <v>290.56904036727383</v>
      </c>
      <c r="O127" s="387">
        <f t="shared" si="33"/>
        <v>3475.2537311738306</v>
      </c>
      <c r="P127" s="398">
        <f t="shared" si="36"/>
        <v>8.3959105114447638E-2</v>
      </c>
      <c r="R127" s="521">
        <f t="shared" si="32"/>
        <v>3</v>
      </c>
    </row>
    <row r="128" spans="1:18" hidden="1" outlineLevel="1" x14ac:dyDescent="0.3">
      <c r="A128" s="426" t="s">
        <v>477</v>
      </c>
      <c r="B128" s="418" t="s">
        <v>173</v>
      </c>
      <c r="C128" s="417"/>
      <c r="D128" s="417"/>
      <c r="E128" s="417"/>
      <c r="F128" s="417"/>
      <c r="G128" s="417"/>
      <c r="H128" s="417"/>
      <c r="I128" s="417"/>
      <c r="J128" s="417"/>
      <c r="K128" s="417"/>
      <c r="L128" s="417"/>
      <c r="M128" s="417"/>
      <c r="N128" s="417"/>
      <c r="O128" s="387">
        <f t="shared" si="33"/>
        <v>0</v>
      </c>
      <c r="P128" s="398">
        <f t="shared" si="36"/>
        <v>0</v>
      </c>
      <c r="R128" s="521" t="str">
        <f t="shared" si="32"/>
        <v/>
      </c>
    </row>
    <row r="129" spans="1:19" hidden="1" outlineLevel="1" x14ac:dyDescent="0.3">
      <c r="A129" s="426" t="s">
        <v>478</v>
      </c>
      <c r="B129" s="396" t="s">
        <v>479</v>
      </c>
      <c r="C129" s="417"/>
      <c r="D129" s="417"/>
      <c r="E129" s="417"/>
      <c r="F129" s="417"/>
      <c r="G129" s="417"/>
      <c r="H129" s="417"/>
      <c r="I129" s="417"/>
      <c r="J129" s="417"/>
      <c r="K129" s="417"/>
      <c r="L129" s="417"/>
      <c r="M129" s="417"/>
      <c r="N129" s="417"/>
      <c r="O129" s="387">
        <f t="shared" si="33"/>
        <v>0</v>
      </c>
      <c r="P129" s="398">
        <f t="shared" si="36"/>
        <v>0</v>
      </c>
      <c r="R129" s="521" t="str">
        <f t="shared" si="32"/>
        <v/>
      </c>
    </row>
    <row r="130" spans="1:19" hidden="1" outlineLevel="1" x14ac:dyDescent="0.3">
      <c r="A130" s="426" t="s">
        <v>480</v>
      </c>
      <c r="B130" s="396" t="s">
        <v>481</v>
      </c>
      <c r="C130" s="417"/>
      <c r="D130" s="417"/>
      <c r="E130" s="417"/>
      <c r="F130" s="417"/>
      <c r="G130" s="417"/>
      <c r="H130" s="417"/>
      <c r="I130" s="417"/>
      <c r="J130" s="417"/>
      <c r="K130" s="417"/>
      <c r="L130" s="417"/>
      <c r="M130" s="417"/>
      <c r="N130" s="417"/>
      <c r="O130" s="387">
        <f t="shared" si="33"/>
        <v>0</v>
      </c>
      <c r="P130" s="398">
        <f t="shared" si="36"/>
        <v>0</v>
      </c>
      <c r="R130" s="521" t="str">
        <f t="shared" si="32"/>
        <v/>
      </c>
    </row>
    <row r="131" spans="1:19" hidden="1" outlineLevel="1" x14ac:dyDescent="0.3">
      <c r="A131" s="426" t="s">
        <v>482</v>
      </c>
      <c r="B131" s="396" t="s">
        <v>483</v>
      </c>
      <c r="C131" s="417"/>
      <c r="D131" s="417"/>
      <c r="E131" s="417"/>
      <c r="F131" s="417"/>
      <c r="G131" s="417"/>
      <c r="H131" s="417"/>
      <c r="I131" s="417"/>
      <c r="J131" s="417"/>
      <c r="K131" s="417"/>
      <c r="L131" s="417"/>
      <c r="M131" s="417"/>
      <c r="N131" s="417"/>
      <c r="O131" s="387">
        <f t="shared" si="33"/>
        <v>0</v>
      </c>
      <c r="P131" s="398">
        <f t="shared" si="36"/>
        <v>0</v>
      </c>
      <c r="R131" s="521" t="str">
        <f t="shared" si="32"/>
        <v/>
      </c>
    </row>
    <row r="132" spans="1:19" hidden="1" outlineLevel="1" x14ac:dyDescent="0.3">
      <c r="A132" s="426" t="s">
        <v>484</v>
      </c>
      <c r="B132" s="396" t="s">
        <v>485</v>
      </c>
      <c r="C132" s="417"/>
      <c r="D132" s="417"/>
      <c r="E132" s="417"/>
      <c r="F132" s="417"/>
      <c r="G132" s="417"/>
      <c r="H132" s="417"/>
      <c r="I132" s="417"/>
      <c r="J132" s="417"/>
      <c r="K132" s="417"/>
      <c r="L132" s="417"/>
      <c r="M132" s="417"/>
      <c r="N132" s="417"/>
      <c r="O132" s="387">
        <f t="shared" si="33"/>
        <v>0</v>
      </c>
      <c r="P132" s="398">
        <f t="shared" si="36"/>
        <v>0</v>
      </c>
      <c r="R132" s="521" t="str">
        <f t="shared" si="32"/>
        <v/>
      </c>
    </row>
    <row r="133" spans="1:19" hidden="1" outlineLevel="1" x14ac:dyDescent="0.3">
      <c r="A133" s="424" t="s">
        <v>486</v>
      </c>
      <c r="B133" s="407" t="s">
        <v>487</v>
      </c>
      <c r="C133" s="408">
        <f>SUM(C134:C145)</f>
        <v>51.127324999999999</v>
      </c>
      <c r="D133" s="408">
        <f t="shared" ref="D133:N133" si="40">SUM(D134:D145)</f>
        <v>45.417193941250005</v>
      </c>
      <c r="E133" s="408">
        <f t="shared" si="40"/>
        <v>41.657821023906251</v>
      </c>
      <c r="F133" s="408">
        <f t="shared" si="40"/>
        <v>43.902788713250054</v>
      </c>
      <c r="G133" s="408">
        <f t="shared" si="40"/>
        <v>52.16227649266812</v>
      </c>
      <c r="H133" s="408">
        <f t="shared" si="40"/>
        <v>73.415680589548273</v>
      </c>
      <c r="I133" s="408">
        <f t="shared" si="40"/>
        <v>55.294548020238807</v>
      </c>
      <c r="J133" s="408">
        <f t="shared" si="40"/>
        <v>58.587227027050361</v>
      </c>
      <c r="K133" s="408">
        <f t="shared" si="40"/>
        <v>77.707703792292364</v>
      </c>
      <c r="L133" s="408">
        <f t="shared" si="40"/>
        <v>79.106599870986173</v>
      </c>
      <c r="M133" s="408">
        <f t="shared" si="40"/>
        <v>80.11121298066783</v>
      </c>
      <c r="N133" s="408">
        <f t="shared" si="40"/>
        <v>1495.3928489628315</v>
      </c>
      <c r="O133" s="409">
        <f t="shared" si="33"/>
        <v>2153.8832264146895</v>
      </c>
      <c r="P133" s="398">
        <f t="shared" si="36"/>
        <v>5.2035943904940471E-2</v>
      </c>
      <c r="R133" s="521">
        <f t="shared" si="32"/>
        <v>1.8593317723196943</v>
      </c>
    </row>
    <row r="134" spans="1:19" hidden="1" outlineLevel="1" x14ac:dyDescent="0.3">
      <c r="A134" s="426" t="s">
        <v>189</v>
      </c>
      <c r="B134" s="396" t="s">
        <v>488</v>
      </c>
      <c r="C134" s="397"/>
      <c r="D134" s="397"/>
      <c r="E134" s="397"/>
      <c r="F134" s="397"/>
      <c r="G134" s="397"/>
      <c r="H134" s="397"/>
      <c r="I134" s="397"/>
      <c r="J134" s="397"/>
      <c r="K134" s="397"/>
      <c r="L134" s="397"/>
      <c r="M134" s="397"/>
      <c r="N134" s="397"/>
      <c r="O134" s="387">
        <f t="shared" si="33"/>
        <v>0</v>
      </c>
      <c r="P134" s="398">
        <f t="shared" si="36"/>
        <v>0</v>
      </c>
      <c r="R134" s="521" t="str">
        <f t="shared" si="32"/>
        <v/>
      </c>
    </row>
    <row r="135" spans="1:19" hidden="1" outlineLevel="1" x14ac:dyDescent="0.3">
      <c r="A135" s="426" t="s">
        <v>489</v>
      </c>
      <c r="B135" s="396" t="s">
        <v>490</v>
      </c>
      <c r="C135" s="397"/>
      <c r="D135" s="397"/>
      <c r="E135" s="397"/>
      <c r="F135" s="397"/>
      <c r="G135" s="397"/>
      <c r="H135" s="397"/>
      <c r="I135" s="397"/>
      <c r="J135" s="397"/>
      <c r="K135" s="397"/>
      <c r="L135" s="397"/>
      <c r="M135" s="397"/>
      <c r="N135" s="397"/>
      <c r="O135" s="387">
        <f t="shared" si="33"/>
        <v>0</v>
      </c>
      <c r="P135" s="398">
        <f t="shared" si="36"/>
        <v>0</v>
      </c>
      <c r="R135" s="521" t="str">
        <f t="shared" si="32"/>
        <v/>
      </c>
    </row>
    <row r="136" spans="1:19" hidden="1" outlineLevel="1" x14ac:dyDescent="0.3">
      <c r="A136" s="426" t="s">
        <v>491</v>
      </c>
      <c r="B136" s="418" t="s">
        <v>492</v>
      </c>
      <c r="C136" s="397"/>
      <c r="D136" s="397"/>
      <c r="E136" s="397"/>
      <c r="F136" s="397"/>
      <c r="G136" s="397"/>
      <c r="H136" s="397"/>
      <c r="I136" s="397"/>
      <c r="J136" s="397"/>
      <c r="K136" s="397"/>
      <c r="L136" s="397"/>
      <c r="M136" s="397"/>
      <c r="N136" s="397"/>
      <c r="O136" s="387">
        <f t="shared" si="33"/>
        <v>0</v>
      </c>
      <c r="P136" s="398">
        <f t="shared" si="36"/>
        <v>0</v>
      </c>
      <c r="R136" s="521" t="str">
        <f t="shared" si="32"/>
        <v/>
      </c>
    </row>
    <row r="137" spans="1:19" hidden="1" outlineLevel="1" x14ac:dyDescent="0.3">
      <c r="A137" s="426" t="s">
        <v>493</v>
      </c>
      <c r="B137" s="396" t="s">
        <v>494</v>
      </c>
      <c r="C137" s="397"/>
      <c r="D137" s="397"/>
      <c r="E137" s="397"/>
      <c r="F137" s="397"/>
      <c r="G137" s="397"/>
      <c r="H137" s="397"/>
      <c r="I137" s="397"/>
      <c r="J137" s="397"/>
      <c r="K137" s="397"/>
      <c r="L137" s="397"/>
      <c r="M137" s="397"/>
      <c r="N137" s="397"/>
      <c r="O137" s="387">
        <f t="shared" si="33"/>
        <v>0</v>
      </c>
      <c r="P137" s="398">
        <f t="shared" si="36"/>
        <v>0</v>
      </c>
      <c r="R137" s="521" t="str">
        <f t="shared" si="32"/>
        <v/>
      </c>
    </row>
    <row r="138" spans="1:19" hidden="1" outlineLevel="1" x14ac:dyDescent="0.3">
      <c r="A138" s="426" t="s">
        <v>495</v>
      </c>
      <c r="B138" s="396" t="s">
        <v>496</v>
      </c>
      <c r="C138" s="598">
        <v>51.127324999999999</v>
      </c>
      <c r="D138" s="598">
        <v>45.417193941250005</v>
      </c>
      <c r="E138" s="598">
        <v>41.657821023906251</v>
      </c>
      <c r="F138" s="598">
        <v>43.902788713250054</v>
      </c>
      <c r="G138" s="598">
        <v>52.16227649266812</v>
      </c>
      <c r="H138" s="598">
        <v>73.415680589548273</v>
      </c>
      <c r="I138" s="598">
        <v>55.294548020238807</v>
      </c>
      <c r="J138" s="598">
        <v>58.587227027050361</v>
      </c>
      <c r="K138" s="598">
        <v>77.707703792292364</v>
      </c>
      <c r="L138" s="598">
        <v>79.106599870986173</v>
      </c>
      <c r="M138" s="598">
        <v>80.11121298066783</v>
      </c>
      <c r="N138" s="598">
        <v>99.274878728080552</v>
      </c>
      <c r="O138" s="387">
        <f t="shared" si="33"/>
        <v>757.76525617993877</v>
      </c>
      <c r="P138" s="398">
        <f t="shared" si="36"/>
        <v>1.8306948993390065E-2</v>
      </c>
      <c r="R138" s="521">
        <f t="shared" si="32"/>
        <v>0.65413807001998936</v>
      </c>
      <c r="S138">
        <v>0.02</v>
      </c>
    </row>
    <row r="139" spans="1:19" hidden="1" outlineLevel="1" x14ac:dyDescent="0.3">
      <c r="A139" s="426" t="s">
        <v>149</v>
      </c>
      <c r="B139" s="396" t="s">
        <v>497</v>
      </c>
      <c r="C139" s="397"/>
      <c r="D139" s="397"/>
      <c r="E139" s="397"/>
      <c r="F139" s="397"/>
      <c r="G139" s="397"/>
      <c r="H139" s="397"/>
      <c r="I139" s="397"/>
      <c r="J139" s="397"/>
      <c r="K139" s="397"/>
      <c r="L139" s="397"/>
      <c r="M139" s="397"/>
      <c r="N139" s="397"/>
      <c r="O139" s="387">
        <f t="shared" si="33"/>
        <v>0</v>
      </c>
      <c r="P139" s="398">
        <f t="shared" si="36"/>
        <v>0</v>
      </c>
      <c r="R139" s="521" t="str">
        <f t="shared" si="32"/>
        <v/>
      </c>
    </row>
    <row r="140" spans="1:19" hidden="1" outlineLevel="1" x14ac:dyDescent="0.3">
      <c r="A140" s="426" t="s">
        <v>498</v>
      </c>
      <c r="B140" s="396" t="s">
        <v>499</v>
      </c>
      <c r="C140" s="397"/>
      <c r="D140" s="397"/>
      <c r="E140" s="397"/>
      <c r="F140" s="397"/>
      <c r="G140" s="397"/>
      <c r="H140" s="397"/>
      <c r="I140" s="397"/>
      <c r="J140" s="397"/>
      <c r="K140" s="397"/>
      <c r="L140" s="397"/>
      <c r="M140" s="397"/>
      <c r="N140" s="397"/>
      <c r="O140" s="387">
        <f t="shared" si="33"/>
        <v>0</v>
      </c>
      <c r="P140" s="398">
        <f t="shared" si="36"/>
        <v>0</v>
      </c>
      <c r="R140" s="521" t="str">
        <f t="shared" si="32"/>
        <v/>
      </c>
    </row>
    <row r="141" spans="1:19" hidden="1" outlineLevel="1" x14ac:dyDescent="0.3">
      <c r="A141" s="426" t="s">
        <v>151</v>
      </c>
      <c r="B141" s="396" t="s">
        <v>152</v>
      </c>
      <c r="C141" s="397"/>
      <c r="D141" s="397"/>
      <c r="E141" s="397"/>
      <c r="F141" s="397"/>
      <c r="G141" s="397"/>
      <c r="H141" s="397"/>
      <c r="I141" s="397"/>
      <c r="J141" s="397"/>
      <c r="K141" s="397"/>
      <c r="L141" s="397"/>
      <c r="M141" s="397"/>
      <c r="N141" s="397"/>
      <c r="O141" s="387">
        <f t="shared" si="33"/>
        <v>0</v>
      </c>
      <c r="P141" s="398">
        <f t="shared" si="36"/>
        <v>0</v>
      </c>
      <c r="R141" s="521" t="str">
        <f t="shared" si="32"/>
        <v/>
      </c>
    </row>
    <row r="142" spans="1:19" hidden="1" outlineLevel="1" x14ac:dyDescent="0.3">
      <c r="A142" s="426" t="s">
        <v>500</v>
      </c>
      <c r="B142" s="396" t="s">
        <v>501</v>
      </c>
      <c r="C142" s="397"/>
      <c r="D142" s="397"/>
      <c r="E142" s="397"/>
      <c r="F142" s="397"/>
      <c r="G142" s="397"/>
      <c r="H142" s="397"/>
      <c r="I142" s="397"/>
      <c r="J142" s="397"/>
      <c r="K142" s="397"/>
      <c r="L142" s="397"/>
      <c r="M142" s="397"/>
      <c r="N142" s="397">
        <f>'Stock Numbers'!E254</f>
        <v>1396.1179702347511</v>
      </c>
      <c r="O142" s="387">
        <f t="shared" si="33"/>
        <v>1396.1179702347511</v>
      </c>
      <c r="P142" s="398">
        <f t="shared" si="36"/>
        <v>3.3728994911550417E-2</v>
      </c>
      <c r="R142" s="521">
        <f>IFERROR(AVERAGE(C142:N142)/AVERAGE($C$5:$N$5),"")</f>
        <v>14.462324427596462</v>
      </c>
    </row>
    <row r="143" spans="1:19" hidden="1" outlineLevel="1" x14ac:dyDescent="0.3">
      <c r="A143" s="426" t="s">
        <v>502</v>
      </c>
      <c r="B143" s="396" t="s">
        <v>503</v>
      </c>
      <c r="C143" s="397"/>
      <c r="D143" s="397"/>
      <c r="E143" s="397"/>
      <c r="F143" s="397"/>
      <c r="G143" s="397"/>
      <c r="H143" s="397"/>
      <c r="I143" s="397"/>
      <c r="J143" s="397"/>
      <c r="K143" s="397"/>
      <c r="L143" s="397"/>
      <c r="M143" s="397"/>
      <c r="N143" s="397"/>
      <c r="O143" s="387">
        <f>SUM(C143:N143)</f>
        <v>0</v>
      </c>
      <c r="P143" s="398">
        <f t="shared" si="36"/>
        <v>0</v>
      </c>
      <c r="R143" s="521" t="str">
        <f>IFERROR(AVERAGE(C143:N143)/AVERAGE($C$5:$N$5),"")</f>
        <v/>
      </c>
    </row>
    <row r="144" spans="1:19" hidden="1" outlineLevel="1" x14ac:dyDescent="0.3">
      <c r="A144" s="426" t="s">
        <v>504</v>
      </c>
      <c r="B144" s="396" t="s">
        <v>505</v>
      </c>
      <c r="C144" s="397"/>
      <c r="D144" s="397"/>
      <c r="E144" s="397"/>
      <c r="F144" s="397"/>
      <c r="G144" s="397"/>
      <c r="H144" s="397"/>
      <c r="I144" s="397"/>
      <c r="J144" s="397"/>
      <c r="K144" s="397"/>
      <c r="L144" s="397"/>
      <c r="M144" s="397"/>
      <c r="N144" s="397"/>
      <c r="O144" s="387">
        <f t="shared" si="33"/>
        <v>0</v>
      </c>
      <c r="P144" s="398">
        <f t="shared" si="36"/>
        <v>0</v>
      </c>
      <c r="R144" s="521" t="str">
        <f t="shared" si="32"/>
        <v/>
      </c>
    </row>
    <row r="145" spans="1:18" hidden="1" outlineLevel="1" x14ac:dyDescent="0.3">
      <c r="A145" s="426" t="s">
        <v>506</v>
      </c>
      <c r="B145" s="396" t="s">
        <v>507</v>
      </c>
      <c r="C145" s="397"/>
      <c r="D145" s="397"/>
      <c r="E145" s="397"/>
      <c r="F145" s="397"/>
      <c r="G145" s="397"/>
      <c r="H145" s="397"/>
      <c r="I145" s="397"/>
      <c r="J145" s="397"/>
      <c r="K145" s="397"/>
      <c r="L145" s="397"/>
      <c r="M145" s="397"/>
      <c r="N145" s="397"/>
      <c r="O145" s="387">
        <f t="shared" si="33"/>
        <v>0</v>
      </c>
      <c r="P145" s="398">
        <f t="shared" si="36"/>
        <v>0</v>
      </c>
      <c r="R145" s="521" t="str">
        <f t="shared" si="32"/>
        <v/>
      </c>
    </row>
    <row r="146" spans="1:18" hidden="1" outlineLevel="1" x14ac:dyDescent="0.3">
      <c r="A146" s="424" t="s">
        <v>508</v>
      </c>
      <c r="B146" s="407" t="s">
        <v>177</v>
      </c>
      <c r="C146" s="408">
        <f>SUM(C147:C151)</f>
        <v>220</v>
      </c>
      <c r="D146" s="408">
        <f t="shared" ref="D146:N146" si="41">SUM(D147:D151)</f>
        <v>200</v>
      </c>
      <c r="E146" s="408">
        <f t="shared" si="41"/>
        <v>200</v>
      </c>
      <c r="F146" s="408">
        <f t="shared" si="41"/>
        <v>200</v>
      </c>
      <c r="G146" s="408">
        <f t="shared" si="41"/>
        <v>200</v>
      </c>
      <c r="H146" s="408">
        <f t="shared" si="41"/>
        <v>200</v>
      </c>
      <c r="I146" s="408">
        <f t="shared" si="41"/>
        <v>200</v>
      </c>
      <c r="J146" s="408">
        <f t="shared" si="41"/>
        <v>200</v>
      </c>
      <c r="K146" s="408">
        <f t="shared" si="41"/>
        <v>200</v>
      </c>
      <c r="L146" s="408">
        <f t="shared" si="41"/>
        <v>200</v>
      </c>
      <c r="M146" s="408">
        <f t="shared" si="41"/>
        <v>200</v>
      </c>
      <c r="N146" s="408">
        <f t="shared" si="41"/>
        <v>200</v>
      </c>
      <c r="O146" s="409">
        <f t="shared" si="33"/>
        <v>2420</v>
      </c>
      <c r="P146" s="431"/>
      <c r="R146" s="521">
        <f t="shared" si="32"/>
        <v>2.0890560982284887</v>
      </c>
    </row>
    <row r="147" spans="1:18" hidden="1" outlineLevel="1" x14ac:dyDescent="0.3">
      <c r="A147" s="426" t="s">
        <v>509</v>
      </c>
      <c r="B147" s="396" t="s">
        <v>510</v>
      </c>
      <c r="C147" s="417"/>
      <c r="D147" s="417"/>
      <c r="E147" s="417"/>
      <c r="F147" s="417"/>
      <c r="G147" s="417"/>
      <c r="H147" s="417"/>
      <c r="I147" s="417"/>
      <c r="J147" s="417"/>
      <c r="K147" s="417"/>
      <c r="L147" s="417"/>
      <c r="M147" s="417"/>
      <c r="N147" s="417"/>
      <c r="O147" s="387">
        <f t="shared" si="33"/>
        <v>0</v>
      </c>
      <c r="P147" s="398">
        <f t="shared" si="36"/>
        <v>0</v>
      </c>
      <c r="R147" s="521" t="str">
        <f t="shared" si="32"/>
        <v/>
      </c>
    </row>
    <row r="148" spans="1:18" hidden="1" outlineLevel="1" x14ac:dyDescent="0.3">
      <c r="A148" s="426" t="s">
        <v>511</v>
      </c>
      <c r="B148" s="396" t="s">
        <v>179</v>
      </c>
      <c r="C148" s="417"/>
      <c r="D148" s="417"/>
      <c r="E148" s="417"/>
      <c r="F148" s="417"/>
      <c r="G148" s="417"/>
      <c r="H148" s="417"/>
      <c r="I148" s="417"/>
      <c r="J148" s="417"/>
      <c r="K148" s="417"/>
      <c r="L148" s="417"/>
      <c r="M148" s="417"/>
      <c r="N148" s="417"/>
      <c r="O148" s="387">
        <f t="shared" si="33"/>
        <v>0</v>
      </c>
      <c r="P148" s="398">
        <f t="shared" si="36"/>
        <v>0</v>
      </c>
      <c r="R148" s="521" t="str">
        <f t="shared" si="32"/>
        <v/>
      </c>
    </row>
    <row r="149" spans="1:18" hidden="1" outlineLevel="1" x14ac:dyDescent="0.3">
      <c r="A149" s="426" t="s">
        <v>512</v>
      </c>
      <c r="B149" s="396" t="s">
        <v>513</v>
      </c>
      <c r="C149" s="417">
        <v>220</v>
      </c>
      <c r="D149" s="417">
        <v>200</v>
      </c>
      <c r="E149" s="417">
        <v>200</v>
      </c>
      <c r="F149" s="417">
        <v>200</v>
      </c>
      <c r="G149" s="417">
        <v>200</v>
      </c>
      <c r="H149" s="417">
        <v>200</v>
      </c>
      <c r="I149" s="417">
        <v>200</v>
      </c>
      <c r="J149" s="417">
        <v>200</v>
      </c>
      <c r="K149" s="417">
        <v>200</v>
      </c>
      <c r="L149" s="417">
        <v>200</v>
      </c>
      <c r="M149" s="417">
        <v>200</v>
      </c>
      <c r="N149" s="417">
        <v>200</v>
      </c>
      <c r="O149" s="387">
        <f t="shared" si="33"/>
        <v>2420</v>
      </c>
      <c r="P149" s="398">
        <f t="shared" si="36"/>
        <v>5.8465093513714511E-2</v>
      </c>
      <c r="R149" s="521">
        <f t="shared" si="32"/>
        <v>2.0890560982284887</v>
      </c>
    </row>
    <row r="150" spans="1:18" hidden="1" outlineLevel="1" x14ac:dyDescent="0.3">
      <c r="A150" s="426" t="s">
        <v>514</v>
      </c>
      <c r="B150" s="396" t="s">
        <v>515</v>
      </c>
      <c r="C150" s="417"/>
      <c r="D150" s="417"/>
      <c r="E150" s="417"/>
      <c r="F150" s="417"/>
      <c r="G150" s="417"/>
      <c r="H150" s="417"/>
      <c r="I150" s="417"/>
      <c r="J150" s="417"/>
      <c r="K150" s="417"/>
      <c r="L150" s="417"/>
      <c r="M150" s="417"/>
      <c r="N150" s="417"/>
      <c r="O150" s="387">
        <f t="shared" si="33"/>
        <v>0</v>
      </c>
      <c r="P150" s="398">
        <f t="shared" si="36"/>
        <v>0</v>
      </c>
      <c r="R150" s="521" t="str">
        <f t="shared" si="32"/>
        <v/>
      </c>
    </row>
    <row r="151" spans="1:18" hidden="1" outlineLevel="1" x14ac:dyDescent="0.3">
      <c r="A151" s="428" t="s">
        <v>516</v>
      </c>
      <c r="B151" s="400" t="s">
        <v>517</v>
      </c>
      <c r="C151" s="383"/>
      <c r="D151" s="383"/>
      <c r="E151" s="383"/>
      <c r="F151" s="383"/>
      <c r="G151" s="383"/>
      <c r="H151" s="383"/>
      <c r="I151" s="383"/>
      <c r="J151" s="383"/>
      <c r="K151" s="383"/>
      <c r="L151" s="383"/>
      <c r="M151" s="383"/>
      <c r="N151" s="383"/>
      <c r="O151" s="402">
        <f t="shared" si="33"/>
        <v>0</v>
      </c>
      <c r="P151" s="398">
        <f t="shared" si="36"/>
        <v>0</v>
      </c>
      <c r="R151" s="521" t="str">
        <f t="shared" si="32"/>
        <v/>
      </c>
    </row>
    <row r="152" spans="1:18" ht="18" customHeight="1" collapsed="1" x14ac:dyDescent="0.3">
      <c r="A152" s="422" t="s">
        <v>518</v>
      </c>
      <c r="B152" s="421" t="s">
        <v>519</v>
      </c>
      <c r="C152" s="392">
        <f>SUM(C153+C164)</f>
        <v>0</v>
      </c>
      <c r="D152" s="392">
        <f t="shared" ref="D152:N152" si="42">SUM(D153+D164)</f>
        <v>0</v>
      </c>
      <c r="E152" s="392">
        <f t="shared" si="42"/>
        <v>0</v>
      </c>
      <c r="F152" s="392">
        <f t="shared" si="42"/>
        <v>0</v>
      </c>
      <c r="G152" s="392">
        <f t="shared" si="42"/>
        <v>0</v>
      </c>
      <c r="H152" s="392">
        <f t="shared" si="42"/>
        <v>0</v>
      </c>
      <c r="I152" s="392">
        <f t="shared" si="42"/>
        <v>0</v>
      </c>
      <c r="J152" s="392">
        <f t="shared" si="42"/>
        <v>0</v>
      </c>
      <c r="K152" s="392">
        <f t="shared" si="42"/>
        <v>0</v>
      </c>
      <c r="L152" s="392">
        <f t="shared" si="42"/>
        <v>0</v>
      </c>
      <c r="M152" s="392">
        <f t="shared" si="42"/>
        <v>0</v>
      </c>
      <c r="N152" s="392">
        <f t="shared" si="42"/>
        <v>0</v>
      </c>
      <c r="O152" s="393">
        <f t="shared" si="33"/>
        <v>0</v>
      </c>
      <c r="P152" s="394">
        <f>SUM(O152/O27)</f>
        <v>0</v>
      </c>
      <c r="R152" s="521">
        <f t="shared" si="32"/>
        <v>0</v>
      </c>
    </row>
    <row r="153" spans="1:18" hidden="1" outlineLevel="1" x14ac:dyDescent="0.3">
      <c r="A153" s="424" t="s">
        <v>520</v>
      </c>
      <c r="B153" s="407" t="s">
        <v>521</v>
      </c>
      <c r="C153" s="408">
        <f>SUM(C154:C163)</f>
        <v>0</v>
      </c>
      <c r="D153" s="408">
        <f t="shared" ref="D153:N153" si="43">SUM(D154:D163)</f>
        <v>0</v>
      </c>
      <c r="E153" s="408">
        <f t="shared" si="43"/>
        <v>0</v>
      </c>
      <c r="F153" s="408">
        <f t="shared" si="43"/>
        <v>0</v>
      </c>
      <c r="G153" s="408">
        <f t="shared" si="43"/>
        <v>0</v>
      </c>
      <c r="H153" s="408">
        <f t="shared" si="43"/>
        <v>0</v>
      </c>
      <c r="I153" s="408">
        <f t="shared" si="43"/>
        <v>0</v>
      </c>
      <c r="J153" s="408">
        <f t="shared" si="43"/>
        <v>0</v>
      </c>
      <c r="K153" s="408">
        <f t="shared" si="43"/>
        <v>0</v>
      </c>
      <c r="L153" s="408">
        <f t="shared" si="43"/>
        <v>0</v>
      </c>
      <c r="M153" s="408">
        <f t="shared" si="43"/>
        <v>0</v>
      </c>
      <c r="N153" s="408">
        <f t="shared" si="43"/>
        <v>0</v>
      </c>
      <c r="O153" s="432">
        <f t="shared" si="33"/>
        <v>0</v>
      </c>
      <c r="P153" s="433"/>
      <c r="R153" s="521">
        <f t="shared" si="32"/>
        <v>0</v>
      </c>
    </row>
    <row r="154" spans="1:18" hidden="1" outlineLevel="1" x14ac:dyDescent="0.3">
      <c r="A154" s="426" t="s">
        <v>522</v>
      </c>
      <c r="B154" s="396" t="s">
        <v>523</v>
      </c>
      <c r="C154" s="397"/>
      <c r="D154" s="397"/>
      <c r="E154" s="397"/>
      <c r="F154" s="397"/>
      <c r="G154" s="397"/>
      <c r="H154" s="397"/>
      <c r="I154" s="397"/>
      <c r="J154" s="397"/>
      <c r="K154" s="397"/>
      <c r="L154" s="397"/>
      <c r="M154" s="397"/>
      <c r="N154" s="397"/>
      <c r="O154" s="378">
        <f t="shared" si="33"/>
        <v>0</v>
      </c>
      <c r="P154" s="379">
        <f>IFERROR(O154/$O$27, 0)</f>
        <v>0</v>
      </c>
      <c r="R154" s="521" t="str">
        <f t="shared" si="32"/>
        <v/>
      </c>
    </row>
    <row r="155" spans="1:18" hidden="1" outlineLevel="1" x14ac:dyDescent="0.3">
      <c r="A155" s="426" t="s">
        <v>524</v>
      </c>
      <c r="B155" s="396" t="s">
        <v>525</v>
      </c>
      <c r="C155" s="397"/>
      <c r="D155" s="397"/>
      <c r="E155" s="397"/>
      <c r="F155" s="397"/>
      <c r="G155" s="397"/>
      <c r="H155" s="397"/>
      <c r="I155" s="397"/>
      <c r="J155" s="397"/>
      <c r="K155" s="397"/>
      <c r="L155" s="397"/>
      <c r="M155" s="397"/>
      <c r="N155" s="397"/>
      <c r="O155" s="378">
        <f t="shared" si="33"/>
        <v>0</v>
      </c>
      <c r="P155" s="379">
        <f t="shared" ref="P155:P171" si="44">IFERROR(O155/$O$27, 0)</f>
        <v>0</v>
      </c>
      <c r="R155" s="521" t="str">
        <f t="shared" si="32"/>
        <v/>
      </c>
    </row>
    <row r="156" spans="1:18" hidden="1" outlineLevel="1" x14ac:dyDescent="0.3">
      <c r="A156" s="426" t="s">
        <v>526</v>
      </c>
      <c r="B156" s="430" t="s">
        <v>527</v>
      </c>
      <c r="C156" s="397"/>
      <c r="D156" s="397"/>
      <c r="E156" s="397"/>
      <c r="F156" s="397"/>
      <c r="G156" s="397"/>
      <c r="H156" s="397"/>
      <c r="I156" s="397"/>
      <c r="J156" s="397"/>
      <c r="K156" s="397"/>
      <c r="L156" s="397"/>
      <c r="M156" s="397"/>
      <c r="N156" s="397"/>
      <c r="O156" s="378">
        <f t="shared" si="33"/>
        <v>0</v>
      </c>
      <c r="P156" s="379">
        <f t="shared" si="44"/>
        <v>0</v>
      </c>
      <c r="R156" s="521" t="str">
        <f t="shared" si="32"/>
        <v/>
      </c>
    </row>
    <row r="157" spans="1:18" hidden="1" outlineLevel="1" x14ac:dyDescent="0.3">
      <c r="A157" s="426" t="s">
        <v>528</v>
      </c>
      <c r="B157" s="418" t="s">
        <v>529</v>
      </c>
      <c r="C157" s="397"/>
      <c r="D157" s="397"/>
      <c r="E157" s="397"/>
      <c r="F157" s="397"/>
      <c r="G157" s="397"/>
      <c r="H157" s="397"/>
      <c r="I157" s="397"/>
      <c r="J157" s="397"/>
      <c r="K157" s="397"/>
      <c r="L157" s="397"/>
      <c r="M157" s="397"/>
      <c r="N157" s="397"/>
      <c r="O157" s="378">
        <f t="shared" si="33"/>
        <v>0</v>
      </c>
      <c r="P157" s="379">
        <f t="shared" si="44"/>
        <v>0</v>
      </c>
      <c r="R157" s="521" t="str">
        <f t="shared" ref="R157:R220" si="45">IFERROR(AVERAGE(C157:N157)/AVERAGE($C$5:$N$5),"")</f>
        <v/>
      </c>
    </row>
    <row r="158" spans="1:18" hidden="1" outlineLevel="1" x14ac:dyDescent="0.3">
      <c r="A158" s="426" t="s">
        <v>530</v>
      </c>
      <c r="B158" s="418" t="s">
        <v>531</v>
      </c>
      <c r="C158" s="397"/>
      <c r="D158" s="397"/>
      <c r="E158" s="397"/>
      <c r="F158" s="397"/>
      <c r="G158" s="397"/>
      <c r="H158" s="397"/>
      <c r="I158" s="397"/>
      <c r="J158" s="397"/>
      <c r="K158" s="397"/>
      <c r="L158" s="397"/>
      <c r="M158" s="397"/>
      <c r="N158" s="397"/>
      <c r="O158" s="378">
        <f t="shared" ref="O158:O172" si="46">SUM(C158:N158)</f>
        <v>0</v>
      </c>
      <c r="P158" s="379">
        <f t="shared" si="44"/>
        <v>0</v>
      </c>
      <c r="R158" s="521" t="str">
        <f t="shared" si="45"/>
        <v/>
      </c>
    </row>
    <row r="159" spans="1:18" hidden="1" outlineLevel="1" x14ac:dyDescent="0.3">
      <c r="A159" s="426" t="s">
        <v>532</v>
      </c>
      <c r="B159" s="396" t="s">
        <v>533</v>
      </c>
      <c r="C159" s="397"/>
      <c r="D159" s="397"/>
      <c r="E159" s="397"/>
      <c r="F159" s="397"/>
      <c r="G159" s="397"/>
      <c r="H159" s="397"/>
      <c r="I159" s="397"/>
      <c r="J159" s="397"/>
      <c r="K159" s="397"/>
      <c r="L159" s="397"/>
      <c r="M159" s="397"/>
      <c r="N159" s="397"/>
      <c r="O159" s="378">
        <f t="shared" si="46"/>
        <v>0</v>
      </c>
      <c r="P159" s="379">
        <f t="shared" si="44"/>
        <v>0</v>
      </c>
      <c r="R159" s="521" t="str">
        <f t="shared" si="45"/>
        <v/>
      </c>
    </row>
    <row r="160" spans="1:18" hidden="1" outlineLevel="1" x14ac:dyDescent="0.3">
      <c r="A160" s="426" t="s">
        <v>534</v>
      </c>
      <c r="B160" s="418" t="s">
        <v>535</v>
      </c>
      <c r="C160" s="397"/>
      <c r="D160" s="397"/>
      <c r="E160" s="397"/>
      <c r="F160" s="397"/>
      <c r="G160" s="397"/>
      <c r="H160" s="397"/>
      <c r="I160" s="397"/>
      <c r="J160" s="397"/>
      <c r="K160" s="397"/>
      <c r="L160" s="397"/>
      <c r="M160" s="397"/>
      <c r="N160" s="397"/>
      <c r="O160" s="378">
        <f t="shared" si="46"/>
        <v>0</v>
      </c>
      <c r="P160" s="379">
        <f t="shared" si="44"/>
        <v>0</v>
      </c>
      <c r="R160" s="521" t="str">
        <f t="shared" si="45"/>
        <v/>
      </c>
    </row>
    <row r="161" spans="1:18" hidden="1" outlineLevel="1" x14ac:dyDescent="0.3">
      <c r="A161" s="426" t="s">
        <v>536</v>
      </c>
      <c r="B161" s="396" t="s">
        <v>537</v>
      </c>
      <c r="C161" s="397"/>
      <c r="D161" s="397"/>
      <c r="E161" s="397"/>
      <c r="F161" s="397"/>
      <c r="G161" s="397"/>
      <c r="H161" s="397"/>
      <c r="I161" s="397"/>
      <c r="J161" s="397"/>
      <c r="K161" s="397"/>
      <c r="L161" s="397"/>
      <c r="M161" s="397"/>
      <c r="N161" s="397"/>
      <c r="O161" s="378">
        <f t="shared" si="46"/>
        <v>0</v>
      </c>
      <c r="P161" s="379">
        <f t="shared" si="44"/>
        <v>0</v>
      </c>
      <c r="R161" s="521" t="str">
        <f t="shared" si="45"/>
        <v/>
      </c>
    </row>
    <row r="162" spans="1:18" hidden="1" outlineLevel="1" x14ac:dyDescent="0.3">
      <c r="A162" s="426" t="s">
        <v>538</v>
      </c>
      <c r="B162" s="418" t="s">
        <v>539</v>
      </c>
      <c r="C162" s="427">
        <f>SUM(C161*5%)</f>
        <v>0</v>
      </c>
      <c r="D162" s="427">
        <f t="shared" ref="D162:N162" si="47">SUM(D161*5%)</f>
        <v>0</v>
      </c>
      <c r="E162" s="427">
        <f t="shared" si="47"/>
        <v>0</v>
      </c>
      <c r="F162" s="427">
        <f t="shared" si="47"/>
        <v>0</v>
      </c>
      <c r="G162" s="427">
        <f t="shared" si="47"/>
        <v>0</v>
      </c>
      <c r="H162" s="427">
        <f t="shared" si="47"/>
        <v>0</v>
      </c>
      <c r="I162" s="427">
        <f t="shared" si="47"/>
        <v>0</v>
      </c>
      <c r="J162" s="427">
        <f t="shared" si="47"/>
        <v>0</v>
      </c>
      <c r="K162" s="427">
        <f t="shared" si="47"/>
        <v>0</v>
      </c>
      <c r="L162" s="427">
        <f t="shared" si="47"/>
        <v>0</v>
      </c>
      <c r="M162" s="427">
        <f t="shared" si="47"/>
        <v>0</v>
      </c>
      <c r="N162" s="427">
        <f t="shared" si="47"/>
        <v>0</v>
      </c>
      <c r="O162" s="378">
        <f t="shared" si="46"/>
        <v>0</v>
      </c>
      <c r="P162" s="379">
        <f t="shared" si="44"/>
        <v>0</v>
      </c>
      <c r="R162" s="521">
        <f t="shared" si="45"/>
        <v>0</v>
      </c>
    </row>
    <row r="163" spans="1:18" hidden="1" outlineLevel="1" x14ac:dyDescent="0.3">
      <c r="A163" s="426" t="s">
        <v>540</v>
      </c>
      <c r="B163" s="396" t="s">
        <v>541</v>
      </c>
      <c r="C163" s="397"/>
      <c r="D163" s="397"/>
      <c r="E163" s="397"/>
      <c r="F163" s="397"/>
      <c r="G163" s="397"/>
      <c r="H163" s="397"/>
      <c r="I163" s="397"/>
      <c r="J163" s="397"/>
      <c r="K163" s="397"/>
      <c r="L163" s="397"/>
      <c r="M163" s="397"/>
      <c r="N163" s="397"/>
      <c r="O163" s="378">
        <f t="shared" si="46"/>
        <v>0</v>
      </c>
      <c r="P163" s="379">
        <f t="shared" si="44"/>
        <v>0</v>
      </c>
      <c r="R163" s="521" t="str">
        <f t="shared" si="45"/>
        <v/>
      </c>
    </row>
    <row r="164" spans="1:18" hidden="1" outlineLevel="1" x14ac:dyDescent="0.3">
      <c r="A164" s="424" t="s">
        <v>542</v>
      </c>
      <c r="B164" s="434" t="s">
        <v>543</v>
      </c>
      <c r="C164" s="408">
        <f>SUM(C165:C171)</f>
        <v>0</v>
      </c>
      <c r="D164" s="408">
        <f t="shared" ref="D164:N164" si="48">SUM(D165:D171)</f>
        <v>0</v>
      </c>
      <c r="E164" s="408">
        <f t="shared" si="48"/>
        <v>0</v>
      </c>
      <c r="F164" s="408">
        <f t="shared" si="48"/>
        <v>0</v>
      </c>
      <c r="G164" s="408">
        <f t="shared" si="48"/>
        <v>0</v>
      </c>
      <c r="H164" s="408">
        <f t="shared" si="48"/>
        <v>0</v>
      </c>
      <c r="I164" s="408">
        <f t="shared" si="48"/>
        <v>0</v>
      </c>
      <c r="J164" s="408">
        <f t="shared" si="48"/>
        <v>0</v>
      </c>
      <c r="K164" s="408">
        <f t="shared" si="48"/>
        <v>0</v>
      </c>
      <c r="L164" s="408">
        <f t="shared" si="48"/>
        <v>0</v>
      </c>
      <c r="M164" s="408">
        <f t="shared" si="48"/>
        <v>0</v>
      </c>
      <c r="N164" s="408">
        <f t="shared" si="48"/>
        <v>0</v>
      </c>
      <c r="O164" s="432">
        <f t="shared" si="46"/>
        <v>0</v>
      </c>
      <c r="P164" s="433">
        <f t="shared" si="44"/>
        <v>0</v>
      </c>
      <c r="R164" s="521">
        <f t="shared" si="45"/>
        <v>0</v>
      </c>
    </row>
    <row r="165" spans="1:18" hidden="1" outlineLevel="1" x14ac:dyDescent="0.3">
      <c r="A165" s="426" t="s">
        <v>544</v>
      </c>
      <c r="B165" s="418" t="s">
        <v>545</v>
      </c>
      <c r="C165" s="397"/>
      <c r="D165" s="397"/>
      <c r="E165" s="397"/>
      <c r="F165" s="397"/>
      <c r="G165" s="397"/>
      <c r="H165" s="397"/>
      <c r="I165" s="397"/>
      <c r="J165" s="397"/>
      <c r="K165" s="397"/>
      <c r="L165" s="397"/>
      <c r="M165" s="397"/>
      <c r="N165" s="397"/>
      <c r="O165" s="378">
        <f t="shared" si="46"/>
        <v>0</v>
      </c>
      <c r="P165" s="379">
        <f t="shared" si="44"/>
        <v>0</v>
      </c>
      <c r="R165" s="521" t="str">
        <f t="shared" si="45"/>
        <v/>
      </c>
    </row>
    <row r="166" spans="1:18" hidden="1" outlineLevel="1" x14ac:dyDescent="0.3">
      <c r="A166" s="426" t="s">
        <v>546</v>
      </c>
      <c r="B166" s="418" t="s">
        <v>547</v>
      </c>
      <c r="C166" s="397"/>
      <c r="D166" s="397"/>
      <c r="E166" s="397"/>
      <c r="F166" s="397"/>
      <c r="G166" s="397"/>
      <c r="H166" s="397"/>
      <c r="I166" s="397"/>
      <c r="J166" s="397"/>
      <c r="K166" s="397"/>
      <c r="L166" s="397"/>
      <c r="M166" s="397"/>
      <c r="N166" s="397"/>
      <c r="O166" s="378">
        <f t="shared" si="46"/>
        <v>0</v>
      </c>
      <c r="P166" s="379">
        <f t="shared" si="44"/>
        <v>0</v>
      </c>
      <c r="R166" s="521" t="str">
        <f t="shared" si="45"/>
        <v/>
      </c>
    </row>
    <row r="167" spans="1:18" hidden="1" outlineLevel="1" x14ac:dyDescent="0.3">
      <c r="A167" s="426" t="s">
        <v>548</v>
      </c>
      <c r="B167" s="418" t="s">
        <v>549</v>
      </c>
      <c r="C167" s="397"/>
      <c r="D167" s="397"/>
      <c r="E167" s="397"/>
      <c r="F167" s="397"/>
      <c r="G167" s="397"/>
      <c r="H167" s="397"/>
      <c r="I167" s="397"/>
      <c r="J167" s="397"/>
      <c r="K167" s="397"/>
      <c r="L167" s="397"/>
      <c r="M167" s="397"/>
      <c r="N167" s="397"/>
      <c r="O167" s="378">
        <f t="shared" si="46"/>
        <v>0</v>
      </c>
      <c r="P167" s="379">
        <f t="shared" si="44"/>
        <v>0</v>
      </c>
      <c r="R167" s="521" t="str">
        <f t="shared" si="45"/>
        <v/>
      </c>
    </row>
    <row r="168" spans="1:18" hidden="1" outlineLevel="1" x14ac:dyDescent="0.3">
      <c r="A168" s="426" t="s">
        <v>550</v>
      </c>
      <c r="B168" s="418" t="s">
        <v>551</v>
      </c>
      <c r="C168" s="397"/>
      <c r="D168" s="397"/>
      <c r="E168" s="397"/>
      <c r="F168" s="397"/>
      <c r="G168" s="397"/>
      <c r="H168" s="397"/>
      <c r="I168" s="397"/>
      <c r="J168" s="397"/>
      <c r="K168" s="397"/>
      <c r="L168" s="397"/>
      <c r="M168" s="397"/>
      <c r="N168" s="397"/>
      <c r="O168" s="378">
        <f t="shared" si="46"/>
        <v>0</v>
      </c>
      <c r="P168" s="379">
        <f t="shared" si="44"/>
        <v>0</v>
      </c>
      <c r="R168" s="521" t="str">
        <f t="shared" si="45"/>
        <v/>
      </c>
    </row>
    <row r="169" spans="1:18" hidden="1" outlineLevel="1" x14ac:dyDescent="0.3">
      <c r="A169" s="426" t="s">
        <v>552</v>
      </c>
      <c r="B169" s="418" t="s">
        <v>553</v>
      </c>
      <c r="C169" s="397"/>
      <c r="D169" s="397"/>
      <c r="E169" s="397"/>
      <c r="F169" s="397"/>
      <c r="G169" s="397"/>
      <c r="H169" s="397"/>
      <c r="I169" s="397"/>
      <c r="J169" s="397"/>
      <c r="K169" s="397"/>
      <c r="L169" s="397"/>
      <c r="M169" s="397"/>
      <c r="N169" s="397"/>
      <c r="O169" s="378">
        <f t="shared" si="46"/>
        <v>0</v>
      </c>
      <c r="P169" s="379">
        <f t="shared" si="44"/>
        <v>0</v>
      </c>
      <c r="R169" s="521" t="str">
        <f t="shared" si="45"/>
        <v/>
      </c>
    </row>
    <row r="170" spans="1:18" hidden="1" outlineLevel="1" x14ac:dyDescent="0.3">
      <c r="A170" s="426" t="s">
        <v>554</v>
      </c>
      <c r="B170" s="418" t="s">
        <v>555</v>
      </c>
      <c r="C170" s="397"/>
      <c r="D170" s="397"/>
      <c r="E170" s="397"/>
      <c r="F170" s="397"/>
      <c r="G170" s="397"/>
      <c r="H170" s="397"/>
      <c r="I170" s="397"/>
      <c r="J170" s="397"/>
      <c r="K170" s="397"/>
      <c r="L170" s="397"/>
      <c r="M170" s="397"/>
      <c r="N170" s="397"/>
      <c r="O170" s="378">
        <f t="shared" si="46"/>
        <v>0</v>
      </c>
      <c r="P170" s="379">
        <f t="shared" si="44"/>
        <v>0</v>
      </c>
      <c r="R170" s="521" t="str">
        <f t="shared" si="45"/>
        <v/>
      </c>
    </row>
    <row r="171" spans="1:18" hidden="1" outlineLevel="1" x14ac:dyDescent="0.3">
      <c r="A171" s="426" t="s">
        <v>556</v>
      </c>
      <c r="B171" s="418" t="s">
        <v>557</v>
      </c>
      <c r="C171" s="397"/>
      <c r="D171" s="397"/>
      <c r="E171" s="397"/>
      <c r="F171" s="397"/>
      <c r="G171" s="397"/>
      <c r="H171" s="397"/>
      <c r="I171" s="397"/>
      <c r="J171" s="397"/>
      <c r="K171" s="397"/>
      <c r="L171" s="397"/>
      <c r="M171" s="397"/>
      <c r="N171" s="397"/>
      <c r="O171" s="378">
        <f t="shared" si="46"/>
        <v>0</v>
      </c>
      <c r="P171" s="379">
        <f t="shared" si="44"/>
        <v>0</v>
      </c>
      <c r="R171" s="521" t="str">
        <f t="shared" si="45"/>
        <v/>
      </c>
    </row>
    <row r="172" spans="1:18" hidden="1" outlineLevel="2" x14ac:dyDescent="0.3">
      <c r="A172" s="419"/>
      <c r="B172" s="400"/>
      <c r="C172" s="420"/>
      <c r="D172" s="420"/>
      <c r="E172" s="420"/>
      <c r="F172" s="420"/>
      <c r="G172" s="420"/>
      <c r="H172" s="420"/>
      <c r="I172" s="420"/>
      <c r="J172" s="420"/>
      <c r="K172" s="420"/>
      <c r="L172" s="420"/>
      <c r="M172" s="420"/>
      <c r="N172" s="420"/>
      <c r="O172" s="384">
        <f t="shared" si="46"/>
        <v>0</v>
      </c>
      <c r="P172" s="435"/>
      <c r="R172" s="521" t="str">
        <f t="shared" si="45"/>
        <v/>
      </c>
    </row>
    <row r="173" spans="1:18" ht="18" customHeight="1" collapsed="1" x14ac:dyDescent="0.3">
      <c r="A173" s="436" t="s">
        <v>558</v>
      </c>
      <c r="B173" s="437" t="s">
        <v>559</v>
      </c>
      <c r="C173" s="438"/>
      <c r="D173" s="438"/>
      <c r="E173" s="438"/>
      <c r="F173" s="438"/>
      <c r="G173" s="438"/>
      <c r="H173" s="438"/>
      <c r="I173" s="438"/>
      <c r="J173" s="438"/>
      <c r="K173" s="438"/>
      <c r="L173" s="438"/>
      <c r="M173" s="438"/>
      <c r="N173" s="438"/>
      <c r="O173" s="373">
        <f>SUM(C173:N173)</f>
        <v>0</v>
      </c>
      <c r="P173" s="439"/>
      <c r="R173" s="521" t="str">
        <f t="shared" si="45"/>
        <v/>
      </c>
    </row>
    <row r="174" spans="1:18" hidden="1" outlineLevel="2" collapsed="1" x14ac:dyDescent="0.3">
      <c r="A174" s="440" t="s">
        <v>560</v>
      </c>
      <c r="B174" s="441" t="s">
        <v>561</v>
      </c>
      <c r="C174" s="415"/>
      <c r="D174" s="415"/>
      <c r="E174" s="415"/>
      <c r="F174" s="415"/>
      <c r="G174" s="415"/>
      <c r="H174" s="415"/>
      <c r="I174" s="415"/>
      <c r="J174" s="415"/>
      <c r="K174" s="415"/>
      <c r="L174" s="415"/>
      <c r="M174" s="415"/>
      <c r="N174" s="415"/>
      <c r="O174" s="378">
        <f t="shared" ref="O174:O231" si="49">SUM(C174:N174)</f>
        <v>0</v>
      </c>
      <c r="P174" s="442"/>
      <c r="R174" s="521" t="str">
        <f t="shared" si="45"/>
        <v/>
      </c>
    </row>
    <row r="175" spans="1:18" hidden="1" outlineLevel="2" x14ac:dyDescent="0.3">
      <c r="A175" s="440" t="s">
        <v>562</v>
      </c>
      <c r="B175" s="441" t="s">
        <v>563</v>
      </c>
      <c r="C175" s="415"/>
      <c r="D175" s="415"/>
      <c r="E175" s="415"/>
      <c r="F175" s="415"/>
      <c r="G175" s="415"/>
      <c r="H175" s="415"/>
      <c r="I175" s="415"/>
      <c r="J175" s="415"/>
      <c r="K175" s="415"/>
      <c r="L175" s="415"/>
      <c r="M175" s="415"/>
      <c r="N175" s="415"/>
      <c r="O175" s="378">
        <f t="shared" si="49"/>
        <v>0</v>
      </c>
      <c r="P175" s="442"/>
      <c r="R175" s="521" t="str">
        <f t="shared" si="45"/>
        <v/>
      </c>
    </row>
    <row r="176" spans="1:18" hidden="1" outlineLevel="2" x14ac:dyDescent="0.3">
      <c r="A176" s="440" t="s">
        <v>564</v>
      </c>
      <c r="B176" s="441" t="s">
        <v>565</v>
      </c>
      <c r="C176" s="415"/>
      <c r="D176" s="415"/>
      <c r="E176" s="415"/>
      <c r="F176" s="415"/>
      <c r="G176" s="415"/>
      <c r="H176" s="415"/>
      <c r="I176" s="415"/>
      <c r="J176" s="415"/>
      <c r="K176" s="415"/>
      <c r="L176" s="415"/>
      <c r="M176" s="415"/>
      <c r="N176" s="415"/>
      <c r="O176" s="378">
        <f t="shared" si="49"/>
        <v>0</v>
      </c>
      <c r="P176" s="442"/>
      <c r="R176" s="521" t="str">
        <f t="shared" si="45"/>
        <v/>
      </c>
    </row>
    <row r="177" spans="1:22" hidden="1" outlineLevel="2" x14ac:dyDescent="0.3">
      <c r="A177" s="440" t="s">
        <v>566</v>
      </c>
      <c r="B177" s="443" t="s">
        <v>567</v>
      </c>
      <c r="C177" s="415"/>
      <c r="D177" s="415"/>
      <c r="E177" s="415"/>
      <c r="F177" s="415"/>
      <c r="G177" s="415"/>
      <c r="H177" s="415"/>
      <c r="I177" s="415"/>
      <c r="J177" s="415"/>
      <c r="K177" s="415"/>
      <c r="L177" s="415"/>
      <c r="M177" s="415"/>
      <c r="N177" s="415"/>
      <c r="O177" s="378">
        <f t="shared" si="49"/>
        <v>0</v>
      </c>
      <c r="P177" s="442"/>
      <c r="R177" s="521" t="str">
        <f t="shared" si="45"/>
        <v/>
      </c>
    </row>
    <row r="178" spans="1:22" hidden="1" outlineLevel="2" x14ac:dyDescent="0.3">
      <c r="A178" s="440" t="s">
        <v>568</v>
      </c>
      <c r="B178" s="441" t="s">
        <v>569</v>
      </c>
      <c r="C178" s="415"/>
      <c r="D178" s="415"/>
      <c r="E178" s="415"/>
      <c r="F178" s="415"/>
      <c r="G178" s="415"/>
      <c r="H178" s="415"/>
      <c r="I178" s="415"/>
      <c r="J178" s="415"/>
      <c r="K178" s="415"/>
      <c r="L178" s="415"/>
      <c r="M178" s="415"/>
      <c r="N178" s="415"/>
      <c r="O178" s="378">
        <f t="shared" si="49"/>
        <v>0</v>
      </c>
      <c r="P178" s="442"/>
      <c r="R178" s="521" t="str">
        <f t="shared" si="45"/>
        <v/>
      </c>
    </row>
    <row r="179" spans="1:22" hidden="1" outlineLevel="2" x14ac:dyDescent="0.3">
      <c r="A179" s="440" t="s">
        <v>570</v>
      </c>
      <c r="B179" s="441" t="s">
        <v>571</v>
      </c>
      <c r="C179" s="415"/>
      <c r="D179" s="415"/>
      <c r="E179" s="415"/>
      <c r="F179" s="415"/>
      <c r="G179" s="415"/>
      <c r="H179" s="415"/>
      <c r="I179" s="415"/>
      <c r="J179" s="415"/>
      <c r="K179" s="415"/>
      <c r="L179" s="415"/>
      <c r="M179" s="415"/>
      <c r="N179" s="415"/>
      <c r="O179" s="378">
        <f t="shared" si="49"/>
        <v>0</v>
      </c>
      <c r="P179" s="442"/>
      <c r="R179" s="521" t="str">
        <f t="shared" si="45"/>
        <v/>
      </c>
    </row>
    <row r="180" spans="1:22" hidden="1" outlineLevel="2" x14ac:dyDescent="0.3">
      <c r="A180" s="440" t="s">
        <v>572</v>
      </c>
      <c r="B180" s="441" t="s">
        <v>573</v>
      </c>
      <c r="C180" s="415"/>
      <c r="D180" s="415"/>
      <c r="E180" s="415"/>
      <c r="F180" s="415"/>
      <c r="G180" s="415"/>
      <c r="H180" s="415"/>
      <c r="I180" s="415"/>
      <c r="J180" s="415"/>
      <c r="K180" s="415"/>
      <c r="L180" s="415"/>
      <c r="M180" s="415"/>
      <c r="N180" s="415"/>
      <c r="O180" s="378">
        <f t="shared" si="49"/>
        <v>0</v>
      </c>
      <c r="P180" s="442"/>
      <c r="R180" s="521" t="str">
        <f t="shared" si="45"/>
        <v/>
      </c>
    </row>
    <row r="181" spans="1:22" hidden="1" outlineLevel="2" x14ac:dyDescent="0.3">
      <c r="A181" s="440" t="s">
        <v>574</v>
      </c>
      <c r="B181" s="441" t="s">
        <v>575</v>
      </c>
      <c r="C181" s="415"/>
      <c r="D181" s="415"/>
      <c r="E181" s="415"/>
      <c r="F181" s="415"/>
      <c r="G181" s="415"/>
      <c r="H181" s="415"/>
      <c r="I181" s="415"/>
      <c r="J181" s="415"/>
      <c r="K181" s="415"/>
      <c r="L181" s="415"/>
      <c r="M181" s="415"/>
      <c r="N181" s="415"/>
      <c r="O181" s="378">
        <f t="shared" si="49"/>
        <v>0</v>
      </c>
      <c r="P181" s="442"/>
      <c r="R181" s="521" t="str">
        <f t="shared" si="45"/>
        <v/>
      </c>
    </row>
    <row r="182" spans="1:22" hidden="1" outlineLevel="2" x14ac:dyDescent="0.3">
      <c r="A182" s="440" t="s">
        <v>576</v>
      </c>
      <c r="B182" s="441" t="s">
        <v>577</v>
      </c>
      <c r="C182" s="415"/>
      <c r="D182" s="415"/>
      <c r="E182" s="415"/>
      <c r="F182" s="415"/>
      <c r="G182" s="415"/>
      <c r="H182" s="415"/>
      <c r="I182" s="415"/>
      <c r="J182" s="415"/>
      <c r="K182" s="415"/>
      <c r="L182" s="415"/>
      <c r="M182" s="415"/>
      <c r="N182" s="415"/>
      <c r="O182" s="378">
        <f t="shared" si="49"/>
        <v>0</v>
      </c>
      <c r="P182" s="442"/>
      <c r="R182" s="521" t="str">
        <f t="shared" si="45"/>
        <v/>
      </c>
    </row>
    <row r="183" spans="1:22" hidden="1" outlineLevel="2" collapsed="1" x14ac:dyDescent="0.3">
      <c r="A183" s="440" t="s">
        <v>578</v>
      </c>
      <c r="B183" s="441" t="s">
        <v>579</v>
      </c>
      <c r="C183" s="415"/>
      <c r="D183" s="415"/>
      <c r="E183" s="415"/>
      <c r="F183" s="415"/>
      <c r="G183" s="415"/>
      <c r="H183" s="415"/>
      <c r="I183" s="415"/>
      <c r="J183" s="415"/>
      <c r="K183" s="415"/>
      <c r="L183" s="415"/>
      <c r="M183" s="415"/>
      <c r="N183" s="415"/>
      <c r="O183" s="378">
        <f t="shared" si="49"/>
        <v>0</v>
      </c>
      <c r="P183" s="442"/>
      <c r="R183" s="521" t="str">
        <f t="shared" si="45"/>
        <v/>
      </c>
    </row>
    <row r="184" spans="1:22" hidden="1" outlineLevel="2" x14ac:dyDescent="0.3">
      <c r="A184" s="440" t="s">
        <v>580</v>
      </c>
      <c r="B184" s="441" t="s">
        <v>581</v>
      </c>
      <c r="C184" s="415"/>
      <c r="D184" s="415"/>
      <c r="E184" s="415"/>
      <c r="F184" s="415"/>
      <c r="G184" s="415"/>
      <c r="H184" s="415"/>
      <c r="I184" s="415"/>
      <c r="J184" s="415"/>
      <c r="K184" s="415"/>
      <c r="L184" s="415"/>
      <c r="M184" s="415"/>
      <c r="N184" s="415"/>
      <c r="O184" s="378">
        <f t="shared" si="49"/>
        <v>0</v>
      </c>
      <c r="P184" s="442"/>
      <c r="R184" s="521" t="str">
        <f t="shared" si="45"/>
        <v/>
      </c>
    </row>
    <row r="185" spans="1:22" hidden="1" outlineLevel="2" x14ac:dyDescent="0.3">
      <c r="A185" s="440" t="s">
        <v>582</v>
      </c>
      <c r="B185" s="441" t="s">
        <v>583</v>
      </c>
      <c r="C185" s="415"/>
      <c r="D185" s="415"/>
      <c r="E185" s="415"/>
      <c r="F185" s="415"/>
      <c r="G185" s="415"/>
      <c r="H185" s="415"/>
      <c r="I185" s="415"/>
      <c r="J185" s="415"/>
      <c r="K185" s="415"/>
      <c r="L185" s="415"/>
      <c r="M185" s="415"/>
      <c r="N185" s="415"/>
      <c r="O185" s="378">
        <f t="shared" si="49"/>
        <v>0</v>
      </c>
      <c r="P185" s="442"/>
      <c r="R185" s="521" t="str">
        <f t="shared" si="45"/>
        <v/>
      </c>
      <c r="S185">
        <v>15000</v>
      </c>
      <c r="T185" t="s">
        <v>689</v>
      </c>
      <c r="U185" t="s">
        <v>687</v>
      </c>
      <c r="V185" t="s">
        <v>690</v>
      </c>
    </row>
    <row r="186" spans="1:22" hidden="1" outlineLevel="2" collapsed="1" x14ac:dyDescent="0.3">
      <c r="A186" s="440" t="s">
        <v>584</v>
      </c>
      <c r="B186" s="441" t="s">
        <v>585</v>
      </c>
      <c r="C186" s="415"/>
      <c r="D186" s="415"/>
      <c r="E186" s="415"/>
      <c r="F186" s="415"/>
      <c r="G186" s="415"/>
      <c r="H186" s="415"/>
      <c r="I186" s="415"/>
      <c r="J186" s="415"/>
      <c r="K186" s="415"/>
      <c r="L186" s="415"/>
      <c r="M186" s="415"/>
      <c r="N186" s="415"/>
      <c r="O186" s="378">
        <f t="shared" si="49"/>
        <v>0</v>
      </c>
      <c r="P186" s="442"/>
      <c r="R186" s="521" t="str">
        <f t="shared" si="45"/>
        <v/>
      </c>
    </row>
    <row r="187" spans="1:22" hidden="1" outlineLevel="2" x14ac:dyDescent="0.3">
      <c r="A187" s="440" t="s">
        <v>586</v>
      </c>
      <c r="B187" s="441" t="s">
        <v>587</v>
      </c>
      <c r="C187" s="415"/>
      <c r="D187" s="415"/>
      <c r="E187" s="415"/>
      <c r="F187" s="415"/>
      <c r="G187" s="415"/>
      <c r="H187" s="415"/>
      <c r="I187" s="415"/>
      <c r="J187" s="415"/>
      <c r="K187" s="415"/>
      <c r="L187" s="415"/>
      <c r="M187" s="415"/>
      <c r="N187" s="415"/>
      <c r="O187" s="378">
        <f t="shared" si="49"/>
        <v>0</v>
      </c>
      <c r="P187" s="442"/>
      <c r="R187" s="521" t="str">
        <f t="shared" si="45"/>
        <v/>
      </c>
    </row>
    <row r="188" spans="1:22" hidden="1" outlineLevel="2" x14ac:dyDescent="0.3">
      <c r="A188" s="440" t="s">
        <v>588</v>
      </c>
      <c r="B188" s="441" t="s">
        <v>589</v>
      </c>
      <c r="C188" s="415"/>
      <c r="D188" s="415"/>
      <c r="E188" s="415"/>
      <c r="F188" s="415"/>
      <c r="G188" s="415"/>
      <c r="H188" s="415"/>
      <c r="I188" s="415"/>
      <c r="J188" s="415"/>
      <c r="K188" s="415"/>
      <c r="L188" s="415"/>
      <c r="M188" s="415"/>
      <c r="N188" s="415"/>
      <c r="O188" s="378">
        <f t="shared" si="49"/>
        <v>0</v>
      </c>
      <c r="P188" s="442"/>
      <c r="R188" s="521" t="str">
        <f t="shared" si="45"/>
        <v/>
      </c>
      <c r="S188">
        <v>35000</v>
      </c>
      <c r="T188" t="s">
        <v>686</v>
      </c>
      <c r="U188" t="s">
        <v>687</v>
      </c>
      <c r="V188" t="s">
        <v>688</v>
      </c>
    </row>
    <row r="189" spans="1:22" hidden="1" outlineLevel="2" collapsed="1" x14ac:dyDescent="0.3">
      <c r="A189" s="440" t="s">
        <v>590</v>
      </c>
      <c r="B189" s="441" t="s">
        <v>591</v>
      </c>
      <c r="C189" s="415"/>
      <c r="D189" s="415"/>
      <c r="E189" s="415"/>
      <c r="F189" s="415"/>
      <c r="G189" s="415"/>
      <c r="H189" s="415"/>
      <c r="I189" s="415"/>
      <c r="J189" s="415"/>
      <c r="K189" s="415"/>
      <c r="L189" s="415"/>
      <c r="M189" s="415"/>
      <c r="N189" s="415"/>
      <c r="O189" s="378">
        <f t="shared" si="49"/>
        <v>0</v>
      </c>
      <c r="P189" s="442"/>
      <c r="R189" s="521" t="str">
        <f t="shared" si="45"/>
        <v/>
      </c>
    </row>
    <row r="190" spans="1:22" hidden="1" outlineLevel="2" x14ac:dyDescent="0.3">
      <c r="A190" s="440" t="s">
        <v>592</v>
      </c>
      <c r="B190" s="441" t="s">
        <v>593</v>
      </c>
      <c r="C190" s="415"/>
      <c r="D190" s="415"/>
      <c r="E190" s="415"/>
      <c r="F190" s="415"/>
      <c r="G190" s="415"/>
      <c r="H190" s="415"/>
      <c r="I190" s="415"/>
      <c r="J190" s="415"/>
      <c r="K190" s="415"/>
      <c r="L190" s="415"/>
      <c r="M190" s="415"/>
      <c r="N190" s="415"/>
      <c r="O190" s="378">
        <f t="shared" si="49"/>
        <v>0</v>
      </c>
      <c r="P190" s="442"/>
      <c r="R190" s="521" t="str">
        <f t="shared" si="45"/>
        <v/>
      </c>
    </row>
    <row r="191" spans="1:22" hidden="1" outlineLevel="2" x14ac:dyDescent="0.3">
      <c r="A191" s="440" t="s">
        <v>594</v>
      </c>
      <c r="B191" s="441" t="s">
        <v>595</v>
      </c>
      <c r="C191" s="415"/>
      <c r="D191" s="415"/>
      <c r="E191" s="415"/>
      <c r="F191" s="415"/>
      <c r="G191" s="415"/>
      <c r="H191" s="415"/>
      <c r="I191" s="415"/>
      <c r="J191" s="415"/>
      <c r="K191" s="415"/>
      <c r="L191" s="415"/>
      <c r="M191" s="415"/>
      <c r="N191" s="415"/>
      <c r="O191" s="378">
        <f t="shared" si="49"/>
        <v>0</v>
      </c>
      <c r="P191" s="442"/>
      <c r="R191" s="521" t="str">
        <f t="shared" si="45"/>
        <v/>
      </c>
    </row>
    <row r="192" spans="1:22" hidden="1" outlineLevel="2" collapsed="1" x14ac:dyDescent="0.3">
      <c r="A192" s="440" t="s">
        <v>596</v>
      </c>
      <c r="B192" s="441" t="s">
        <v>597</v>
      </c>
      <c r="C192" s="415"/>
      <c r="D192" s="415"/>
      <c r="E192" s="415"/>
      <c r="F192" s="415"/>
      <c r="G192" s="415"/>
      <c r="H192" s="415"/>
      <c r="I192" s="415"/>
      <c r="J192" s="415"/>
      <c r="K192" s="415"/>
      <c r="L192" s="415"/>
      <c r="M192" s="415"/>
      <c r="N192" s="415"/>
      <c r="O192" s="378">
        <f t="shared" si="49"/>
        <v>0</v>
      </c>
      <c r="P192" s="442"/>
      <c r="R192" s="521" t="str">
        <f t="shared" si="45"/>
        <v/>
      </c>
    </row>
    <row r="193" spans="1:22" hidden="1" outlineLevel="2" x14ac:dyDescent="0.3">
      <c r="A193" s="440" t="s">
        <v>598</v>
      </c>
      <c r="B193" s="441" t="s">
        <v>599</v>
      </c>
      <c r="C193" s="415"/>
      <c r="D193" s="415"/>
      <c r="E193" s="415"/>
      <c r="F193" s="415"/>
      <c r="G193" s="415"/>
      <c r="H193" s="415"/>
      <c r="I193" s="415"/>
      <c r="J193" s="415"/>
      <c r="K193" s="415"/>
      <c r="L193" s="415"/>
      <c r="M193" s="415"/>
      <c r="N193" s="415"/>
      <c r="O193" s="378">
        <f t="shared" si="49"/>
        <v>0</v>
      </c>
      <c r="P193" s="442"/>
      <c r="R193" s="521" t="str">
        <f t="shared" si="45"/>
        <v/>
      </c>
    </row>
    <row r="194" spans="1:22" hidden="1" outlineLevel="2" x14ac:dyDescent="0.3">
      <c r="A194" s="440" t="s">
        <v>600</v>
      </c>
      <c r="B194" s="441" t="s">
        <v>601</v>
      </c>
      <c r="C194" s="415"/>
      <c r="D194" s="415"/>
      <c r="E194" s="415"/>
      <c r="F194" s="415"/>
      <c r="G194" s="415"/>
      <c r="H194" s="415"/>
      <c r="I194" s="415"/>
      <c r="J194" s="415"/>
      <c r="K194" s="415"/>
      <c r="L194" s="415"/>
      <c r="M194" s="415"/>
      <c r="N194" s="415"/>
      <c r="O194" s="378">
        <f t="shared" si="49"/>
        <v>0</v>
      </c>
      <c r="P194" s="442"/>
      <c r="R194" s="521" t="str">
        <f t="shared" si="45"/>
        <v/>
      </c>
    </row>
    <row r="195" spans="1:22" hidden="1" outlineLevel="2" collapsed="1" x14ac:dyDescent="0.3">
      <c r="A195" s="440" t="s">
        <v>602</v>
      </c>
      <c r="B195" s="441" t="s">
        <v>603</v>
      </c>
      <c r="C195" s="415"/>
      <c r="D195" s="415"/>
      <c r="E195" s="415"/>
      <c r="F195" s="415"/>
      <c r="G195" s="415"/>
      <c r="H195" s="415"/>
      <c r="I195" s="415"/>
      <c r="J195" s="415"/>
      <c r="K195" s="415"/>
      <c r="L195" s="415"/>
      <c r="M195" s="415"/>
      <c r="N195" s="415"/>
      <c r="O195" s="378">
        <f t="shared" si="49"/>
        <v>0</v>
      </c>
      <c r="P195" s="442"/>
      <c r="R195" s="521" t="str">
        <f t="shared" si="45"/>
        <v/>
      </c>
    </row>
    <row r="196" spans="1:22" hidden="1" outlineLevel="2" x14ac:dyDescent="0.3">
      <c r="A196" s="440" t="s">
        <v>604</v>
      </c>
      <c r="B196" s="441" t="s">
        <v>605</v>
      </c>
      <c r="C196" s="415"/>
      <c r="D196" s="415"/>
      <c r="E196" s="415"/>
      <c r="F196" s="415"/>
      <c r="G196" s="415"/>
      <c r="H196" s="415"/>
      <c r="I196" s="415"/>
      <c r="J196" s="415"/>
      <c r="K196" s="415"/>
      <c r="L196" s="415"/>
      <c r="M196" s="415"/>
      <c r="N196" s="415"/>
      <c r="O196" s="378">
        <f t="shared" si="49"/>
        <v>0</v>
      </c>
      <c r="P196" s="442"/>
      <c r="R196" s="521" t="str">
        <f t="shared" si="45"/>
        <v/>
      </c>
    </row>
    <row r="197" spans="1:22" hidden="1" outlineLevel="2" x14ac:dyDescent="0.3">
      <c r="A197" s="440" t="s">
        <v>606</v>
      </c>
      <c r="B197" s="441" t="s">
        <v>607</v>
      </c>
      <c r="C197" s="415"/>
      <c r="D197" s="415"/>
      <c r="E197" s="415"/>
      <c r="F197" s="415"/>
      <c r="G197" s="415"/>
      <c r="H197" s="415"/>
      <c r="I197" s="415"/>
      <c r="J197" s="415"/>
      <c r="K197" s="415"/>
      <c r="L197" s="415"/>
      <c r="M197" s="415"/>
      <c r="N197" s="415"/>
      <c r="O197" s="378">
        <f t="shared" si="49"/>
        <v>0</v>
      </c>
      <c r="P197" s="442"/>
      <c r="R197" s="521" t="str">
        <f t="shared" si="45"/>
        <v/>
      </c>
    </row>
    <row r="198" spans="1:22" hidden="1" outlineLevel="2" collapsed="1" x14ac:dyDescent="0.3">
      <c r="A198" s="440" t="s">
        <v>608</v>
      </c>
      <c r="B198" s="441" t="s">
        <v>609</v>
      </c>
      <c r="C198" s="415"/>
      <c r="D198" s="415"/>
      <c r="E198" s="415"/>
      <c r="F198" s="415"/>
      <c r="G198" s="415"/>
      <c r="H198" s="415"/>
      <c r="I198" s="415"/>
      <c r="J198" s="415"/>
      <c r="K198" s="415"/>
      <c r="L198" s="415"/>
      <c r="M198" s="415"/>
      <c r="N198" s="415"/>
      <c r="O198" s="378">
        <f t="shared" si="49"/>
        <v>0</v>
      </c>
      <c r="P198" s="442"/>
      <c r="R198" s="521" t="str">
        <f t="shared" si="45"/>
        <v/>
      </c>
    </row>
    <row r="199" spans="1:22" hidden="1" outlineLevel="2" x14ac:dyDescent="0.3">
      <c r="A199" s="440" t="s">
        <v>610</v>
      </c>
      <c r="B199" s="441" t="s">
        <v>611</v>
      </c>
      <c r="C199" s="415"/>
      <c r="D199" s="415"/>
      <c r="E199" s="415"/>
      <c r="F199" s="415"/>
      <c r="G199" s="415"/>
      <c r="H199" s="415"/>
      <c r="I199" s="415"/>
      <c r="J199" s="415"/>
      <c r="K199" s="415"/>
      <c r="L199" s="415"/>
      <c r="M199" s="415"/>
      <c r="N199" s="415"/>
      <c r="O199" s="378">
        <f t="shared" si="49"/>
        <v>0</v>
      </c>
      <c r="P199" s="442"/>
      <c r="R199" s="521" t="str">
        <f t="shared" si="45"/>
        <v/>
      </c>
    </row>
    <row r="200" spans="1:22" hidden="1" outlineLevel="2" x14ac:dyDescent="0.3">
      <c r="A200" s="440" t="s">
        <v>612</v>
      </c>
      <c r="B200" s="441" t="s">
        <v>613</v>
      </c>
      <c r="C200" s="415"/>
      <c r="D200" s="415"/>
      <c r="E200" s="415"/>
      <c r="F200" s="415"/>
      <c r="G200" s="415"/>
      <c r="H200" s="415"/>
      <c r="I200" s="415"/>
      <c r="J200" s="415"/>
      <c r="K200" s="415"/>
      <c r="L200" s="415"/>
      <c r="M200" s="415"/>
      <c r="N200" s="415"/>
      <c r="O200" s="378">
        <f t="shared" si="49"/>
        <v>0</v>
      </c>
      <c r="P200" s="442"/>
      <c r="R200" s="521" t="str">
        <f t="shared" si="45"/>
        <v/>
      </c>
    </row>
    <row r="201" spans="1:22" hidden="1" outlineLevel="2" collapsed="1" x14ac:dyDescent="0.3">
      <c r="A201" s="440" t="s">
        <v>614</v>
      </c>
      <c r="B201" s="441" t="s">
        <v>615</v>
      </c>
      <c r="C201" s="415"/>
      <c r="D201" s="415"/>
      <c r="E201" s="415"/>
      <c r="F201" s="415"/>
      <c r="G201" s="415"/>
      <c r="H201" s="415"/>
      <c r="I201" s="415"/>
      <c r="J201" s="415"/>
      <c r="K201" s="415"/>
      <c r="L201" s="415"/>
      <c r="M201" s="415"/>
      <c r="N201" s="415"/>
      <c r="O201" s="378">
        <f t="shared" si="49"/>
        <v>0</v>
      </c>
      <c r="P201" s="442"/>
      <c r="R201" s="521" t="str">
        <f t="shared" si="45"/>
        <v/>
      </c>
    </row>
    <row r="202" spans="1:22" hidden="1" outlineLevel="2" x14ac:dyDescent="0.3">
      <c r="A202" s="440" t="s">
        <v>616</v>
      </c>
      <c r="B202" s="441" t="s">
        <v>617</v>
      </c>
      <c r="C202" s="415"/>
      <c r="D202" s="415"/>
      <c r="E202" s="415"/>
      <c r="F202" s="415"/>
      <c r="G202" s="415"/>
      <c r="H202" s="415"/>
      <c r="I202" s="415"/>
      <c r="J202" s="415"/>
      <c r="K202" s="415"/>
      <c r="L202" s="415"/>
      <c r="M202" s="415"/>
      <c r="N202" s="415"/>
      <c r="O202" s="378">
        <f t="shared" si="49"/>
        <v>0</v>
      </c>
      <c r="P202" s="442"/>
      <c r="R202" s="521" t="str">
        <f t="shared" si="45"/>
        <v/>
      </c>
    </row>
    <row r="203" spans="1:22" hidden="1" outlineLevel="2" x14ac:dyDescent="0.3">
      <c r="A203" s="444" t="s">
        <v>618</v>
      </c>
      <c r="B203" s="445" t="s">
        <v>619</v>
      </c>
      <c r="C203" s="420"/>
      <c r="D203" s="420"/>
      <c r="E203" s="420"/>
      <c r="F203" s="420"/>
      <c r="G203" s="420"/>
      <c r="H203" s="420"/>
      <c r="I203" s="420"/>
      <c r="J203" s="420"/>
      <c r="K203" s="420"/>
      <c r="L203" s="420"/>
      <c r="M203" s="420"/>
      <c r="N203" s="420"/>
      <c r="O203" s="378">
        <f t="shared" si="49"/>
        <v>0</v>
      </c>
      <c r="P203" s="442"/>
      <c r="R203" s="521" t="str">
        <f t="shared" si="45"/>
        <v/>
      </c>
      <c r="S203">
        <f>122150+30000</f>
        <v>152150</v>
      </c>
      <c r="T203" t="s">
        <v>693</v>
      </c>
      <c r="U203" t="s">
        <v>687</v>
      </c>
      <c r="V203" t="s">
        <v>694</v>
      </c>
    </row>
    <row r="204" spans="1:22" ht="18" hidden="1" customHeight="1" outlineLevel="1" x14ac:dyDescent="0.3">
      <c r="A204" s="446" t="s">
        <v>620</v>
      </c>
      <c r="B204" s="447" t="s">
        <v>233</v>
      </c>
      <c r="C204" s="438"/>
      <c r="D204" s="438"/>
      <c r="E204" s="438"/>
      <c r="F204" s="438"/>
      <c r="G204" s="438"/>
      <c r="H204" s="438"/>
      <c r="I204" s="438"/>
      <c r="J204" s="438"/>
      <c r="K204" s="438"/>
      <c r="L204" s="438"/>
      <c r="M204" s="438"/>
      <c r="N204" s="438"/>
      <c r="O204" s="438">
        <f t="shared" si="49"/>
        <v>0</v>
      </c>
      <c r="P204" s="439"/>
      <c r="R204" s="521" t="str">
        <f t="shared" si="45"/>
        <v/>
      </c>
    </row>
    <row r="205" spans="1:22" hidden="1" outlineLevel="2" x14ac:dyDescent="0.3">
      <c r="A205" s="440" t="s">
        <v>621</v>
      </c>
      <c r="B205" s="448" t="s">
        <v>622</v>
      </c>
      <c r="C205" s="415"/>
      <c r="D205" s="415"/>
      <c r="E205" s="415"/>
      <c r="F205" s="415"/>
      <c r="G205" s="415"/>
      <c r="H205" s="415"/>
      <c r="I205" s="415"/>
      <c r="J205" s="415"/>
      <c r="K205" s="415"/>
      <c r="L205" s="415"/>
      <c r="M205" s="415"/>
      <c r="N205" s="415"/>
      <c r="O205" s="415">
        <f t="shared" si="49"/>
        <v>0</v>
      </c>
      <c r="P205" s="442"/>
      <c r="R205" s="521" t="str">
        <f t="shared" si="45"/>
        <v/>
      </c>
    </row>
    <row r="206" spans="1:22" hidden="1" outlineLevel="2" x14ac:dyDescent="0.3">
      <c r="A206" s="440" t="s">
        <v>623</v>
      </c>
      <c r="B206" s="449" t="s">
        <v>624</v>
      </c>
      <c r="C206" s="415"/>
      <c r="D206" s="415"/>
      <c r="E206" s="415"/>
      <c r="F206" s="415"/>
      <c r="G206" s="415"/>
      <c r="H206" s="415"/>
      <c r="I206" s="415"/>
      <c r="J206" s="415"/>
      <c r="K206" s="415"/>
      <c r="L206" s="415"/>
      <c r="M206" s="415"/>
      <c r="N206" s="415"/>
      <c r="O206" s="415">
        <f t="shared" si="49"/>
        <v>0</v>
      </c>
      <c r="P206" s="442"/>
      <c r="R206" s="521" t="str">
        <f t="shared" si="45"/>
        <v/>
      </c>
    </row>
    <row r="207" spans="1:22" hidden="1" outlineLevel="2" x14ac:dyDescent="0.3">
      <c r="A207" s="440" t="s">
        <v>625</v>
      </c>
      <c r="B207" s="450" t="s">
        <v>626</v>
      </c>
      <c r="C207" s="415"/>
      <c r="D207" s="415"/>
      <c r="E207" s="415"/>
      <c r="F207" s="415"/>
      <c r="G207" s="415"/>
      <c r="H207" s="415"/>
      <c r="I207" s="415"/>
      <c r="J207" s="415"/>
      <c r="K207" s="415"/>
      <c r="L207" s="415"/>
      <c r="M207" s="415"/>
      <c r="N207" s="415"/>
      <c r="O207" s="415">
        <f t="shared" si="49"/>
        <v>0</v>
      </c>
      <c r="P207" s="442"/>
      <c r="R207" s="521" t="str">
        <f t="shared" si="45"/>
        <v/>
      </c>
    </row>
    <row r="208" spans="1:22" hidden="1" outlineLevel="2" x14ac:dyDescent="0.3">
      <c r="A208" s="440" t="s">
        <v>627</v>
      </c>
      <c r="B208" s="450" t="s">
        <v>628</v>
      </c>
      <c r="C208" s="415"/>
      <c r="D208" s="415"/>
      <c r="E208" s="415"/>
      <c r="F208" s="415"/>
      <c r="G208" s="415"/>
      <c r="H208" s="415"/>
      <c r="I208" s="415"/>
      <c r="J208" s="415"/>
      <c r="K208" s="415"/>
      <c r="L208" s="415"/>
      <c r="M208" s="415"/>
      <c r="N208" s="415"/>
      <c r="O208" s="415">
        <f t="shared" si="49"/>
        <v>0</v>
      </c>
      <c r="P208" s="442"/>
      <c r="R208" s="521" t="str">
        <f t="shared" si="45"/>
        <v/>
      </c>
    </row>
    <row r="209" spans="1:18" hidden="1" outlineLevel="2" x14ac:dyDescent="0.3">
      <c r="A209" s="440" t="s">
        <v>629</v>
      </c>
      <c r="B209" s="450" t="s">
        <v>630</v>
      </c>
      <c r="C209" s="415"/>
      <c r="D209" s="415"/>
      <c r="E209" s="415"/>
      <c r="F209" s="415"/>
      <c r="G209" s="415"/>
      <c r="H209" s="415"/>
      <c r="I209" s="415"/>
      <c r="J209" s="415"/>
      <c r="K209" s="415"/>
      <c r="L209" s="415"/>
      <c r="M209" s="415"/>
      <c r="N209" s="415"/>
      <c r="O209" s="415">
        <f t="shared" si="49"/>
        <v>0</v>
      </c>
      <c r="P209" s="442"/>
      <c r="R209" s="521" t="str">
        <f t="shared" si="45"/>
        <v/>
      </c>
    </row>
    <row r="210" spans="1:18" hidden="1" outlineLevel="2" x14ac:dyDescent="0.3">
      <c r="A210" s="440" t="s">
        <v>631</v>
      </c>
      <c r="B210" s="450" t="s">
        <v>632</v>
      </c>
      <c r="C210" s="415"/>
      <c r="D210" s="415"/>
      <c r="E210" s="415"/>
      <c r="F210" s="415"/>
      <c r="G210" s="415"/>
      <c r="H210" s="415"/>
      <c r="I210" s="415"/>
      <c r="J210" s="415"/>
      <c r="K210" s="415"/>
      <c r="L210" s="415"/>
      <c r="M210" s="415"/>
      <c r="N210" s="415"/>
      <c r="O210" s="415">
        <f t="shared" si="49"/>
        <v>0</v>
      </c>
      <c r="P210" s="442"/>
      <c r="R210" s="521" t="str">
        <f t="shared" si="45"/>
        <v/>
      </c>
    </row>
    <row r="211" spans="1:18" hidden="1" outlineLevel="2" x14ac:dyDescent="0.3">
      <c r="A211" s="440" t="s">
        <v>633</v>
      </c>
      <c r="B211" s="450" t="s">
        <v>634</v>
      </c>
      <c r="C211" s="415"/>
      <c r="D211" s="415"/>
      <c r="E211" s="415"/>
      <c r="F211" s="415"/>
      <c r="G211" s="415"/>
      <c r="H211" s="415"/>
      <c r="I211" s="415"/>
      <c r="J211" s="415"/>
      <c r="K211" s="415"/>
      <c r="L211" s="415"/>
      <c r="M211" s="415"/>
      <c r="N211" s="415"/>
      <c r="O211" s="415">
        <f t="shared" si="49"/>
        <v>0</v>
      </c>
      <c r="P211" s="442"/>
      <c r="R211" s="521" t="str">
        <f t="shared" si="45"/>
        <v/>
      </c>
    </row>
    <row r="212" spans="1:18" hidden="1" outlineLevel="2" x14ac:dyDescent="0.3">
      <c r="A212" s="440" t="s">
        <v>635</v>
      </c>
      <c r="B212" s="450" t="s">
        <v>636</v>
      </c>
      <c r="C212" s="415"/>
      <c r="D212" s="415"/>
      <c r="E212" s="415"/>
      <c r="F212" s="415"/>
      <c r="G212" s="415"/>
      <c r="H212" s="415"/>
      <c r="I212" s="415"/>
      <c r="J212" s="415"/>
      <c r="K212" s="415"/>
      <c r="L212" s="415"/>
      <c r="M212" s="415"/>
      <c r="N212" s="415"/>
      <c r="O212" s="415">
        <f t="shared" si="49"/>
        <v>0</v>
      </c>
      <c r="P212" s="442"/>
      <c r="R212" s="521" t="str">
        <f t="shared" si="45"/>
        <v/>
      </c>
    </row>
    <row r="213" spans="1:18" hidden="1" outlineLevel="2" x14ac:dyDescent="0.3">
      <c r="A213" s="440" t="s">
        <v>637</v>
      </c>
      <c r="B213" s="450" t="s">
        <v>638</v>
      </c>
      <c r="C213" s="415"/>
      <c r="D213" s="415"/>
      <c r="E213" s="415"/>
      <c r="F213" s="415"/>
      <c r="G213" s="415"/>
      <c r="H213" s="415"/>
      <c r="I213" s="415"/>
      <c r="J213" s="415"/>
      <c r="K213" s="415"/>
      <c r="L213" s="415"/>
      <c r="M213" s="415"/>
      <c r="N213" s="415"/>
      <c r="O213" s="415">
        <f t="shared" si="49"/>
        <v>0</v>
      </c>
      <c r="P213" s="442"/>
      <c r="R213" s="521" t="str">
        <f t="shared" si="45"/>
        <v/>
      </c>
    </row>
    <row r="214" spans="1:18" hidden="1" outlineLevel="2" x14ac:dyDescent="0.3">
      <c r="A214" s="440" t="s">
        <v>639</v>
      </c>
      <c r="B214" s="450" t="s">
        <v>640</v>
      </c>
      <c r="C214" s="415"/>
      <c r="D214" s="415"/>
      <c r="E214" s="415"/>
      <c r="F214" s="415"/>
      <c r="G214" s="415"/>
      <c r="H214" s="415"/>
      <c r="I214" s="415"/>
      <c r="J214" s="415"/>
      <c r="K214" s="415"/>
      <c r="L214" s="415"/>
      <c r="M214" s="415"/>
      <c r="N214" s="415"/>
      <c r="O214" s="415">
        <f t="shared" si="49"/>
        <v>0</v>
      </c>
      <c r="P214" s="442"/>
      <c r="R214" s="521" t="str">
        <f t="shared" si="45"/>
        <v/>
      </c>
    </row>
    <row r="215" spans="1:18" hidden="1" outlineLevel="2" x14ac:dyDescent="0.3">
      <c r="A215" s="440" t="s">
        <v>641</v>
      </c>
      <c r="B215" s="450" t="s">
        <v>642</v>
      </c>
      <c r="C215" s="415"/>
      <c r="D215" s="415"/>
      <c r="E215" s="415"/>
      <c r="F215" s="415"/>
      <c r="G215" s="415"/>
      <c r="H215" s="415"/>
      <c r="I215" s="415"/>
      <c r="J215" s="415"/>
      <c r="K215" s="415"/>
      <c r="L215" s="415"/>
      <c r="M215" s="415"/>
      <c r="N215" s="415"/>
      <c r="O215" s="415">
        <f t="shared" si="49"/>
        <v>0</v>
      </c>
      <c r="P215" s="442"/>
      <c r="R215" s="521" t="str">
        <f t="shared" si="45"/>
        <v/>
      </c>
    </row>
    <row r="216" spans="1:18" hidden="1" outlineLevel="2" x14ac:dyDescent="0.3">
      <c r="A216" s="440" t="s">
        <v>643</v>
      </c>
      <c r="B216" s="450" t="s">
        <v>644</v>
      </c>
      <c r="C216" s="415"/>
      <c r="D216" s="415"/>
      <c r="E216" s="415"/>
      <c r="F216" s="415"/>
      <c r="G216" s="415"/>
      <c r="H216" s="415"/>
      <c r="I216" s="415"/>
      <c r="J216" s="415"/>
      <c r="K216" s="415"/>
      <c r="L216" s="415"/>
      <c r="M216" s="415"/>
      <c r="N216" s="415"/>
      <c r="O216" s="415">
        <f t="shared" si="49"/>
        <v>0</v>
      </c>
      <c r="P216" s="442"/>
      <c r="R216" s="521" t="str">
        <f t="shared" si="45"/>
        <v/>
      </c>
    </row>
    <row r="217" spans="1:18" hidden="1" outlineLevel="2" x14ac:dyDescent="0.3">
      <c r="A217" s="440" t="s">
        <v>645</v>
      </c>
      <c r="B217" s="450" t="s">
        <v>646</v>
      </c>
      <c r="C217" s="415"/>
      <c r="D217" s="415"/>
      <c r="E217" s="415"/>
      <c r="F217" s="415"/>
      <c r="G217" s="415"/>
      <c r="H217" s="415"/>
      <c r="I217" s="415"/>
      <c r="J217" s="415"/>
      <c r="K217" s="415"/>
      <c r="L217" s="415"/>
      <c r="M217" s="415"/>
      <c r="N217" s="415"/>
      <c r="O217" s="415">
        <f t="shared" si="49"/>
        <v>0</v>
      </c>
      <c r="P217" s="442"/>
      <c r="R217" s="521" t="str">
        <f t="shared" si="45"/>
        <v/>
      </c>
    </row>
    <row r="218" spans="1:18" hidden="1" outlineLevel="2" x14ac:dyDescent="0.3">
      <c r="A218" s="440" t="s">
        <v>647</v>
      </c>
      <c r="B218" s="450" t="s">
        <v>648</v>
      </c>
      <c r="C218" s="415"/>
      <c r="D218" s="415"/>
      <c r="E218" s="415"/>
      <c r="F218" s="415"/>
      <c r="G218" s="415"/>
      <c r="H218" s="415"/>
      <c r="I218" s="415"/>
      <c r="J218" s="415"/>
      <c r="K218" s="415"/>
      <c r="L218" s="415"/>
      <c r="M218" s="415"/>
      <c r="N218" s="415"/>
      <c r="O218" s="415">
        <f t="shared" si="49"/>
        <v>0</v>
      </c>
      <c r="P218" s="442"/>
      <c r="R218" s="521" t="str">
        <f t="shared" si="45"/>
        <v/>
      </c>
    </row>
    <row r="219" spans="1:18" ht="14.7" hidden="1" customHeight="1" outlineLevel="2" x14ac:dyDescent="0.3">
      <c r="A219" s="440" t="s">
        <v>649</v>
      </c>
      <c r="B219" s="450" t="s">
        <v>650</v>
      </c>
      <c r="C219" s="415"/>
      <c r="D219" s="415"/>
      <c r="E219" s="415"/>
      <c r="F219" s="415"/>
      <c r="G219" s="415"/>
      <c r="H219" s="415"/>
      <c r="I219" s="415"/>
      <c r="J219" s="415"/>
      <c r="K219" s="415"/>
      <c r="L219" s="415"/>
      <c r="M219" s="415"/>
      <c r="N219" s="415"/>
      <c r="O219" s="415">
        <f t="shared" si="49"/>
        <v>0</v>
      </c>
      <c r="P219" s="442"/>
      <c r="R219" s="521" t="str">
        <f t="shared" si="45"/>
        <v/>
      </c>
    </row>
    <row r="220" spans="1:18" hidden="1" outlineLevel="2" x14ac:dyDescent="0.3">
      <c r="A220" s="444" t="s">
        <v>651</v>
      </c>
      <c r="B220" s="451" t="s">
        <v>652</v>
      </c>
      <c r="C220" s="420"/>
      <c r="D220" s="420"/>
      <c r="E220" s="420"/>
      <c r="F220" s="420"/>
      <c r="G220" s="420"/>
      <c r="H220" s="420"/>
      <c r="I220" s="420"/>
      <c r="J220" s="420"/>
      <c r="K220" s="420"/>
      <c r="L220" s="420"/>
      <c r="M220" s="420"/>
      <c r="N220" s="420"/>
      <c r="O220" s="420">
        <f t="shared" si="49"/>
        <v>0</v>
      </c>
      <c r="P220" s="435"/>
      <c r="R220" s="521" t="str">
        <f t="shared" si="45"/>
        <v/>
      </c>
    </row>
    <row r="221" spans="1:18" ht="18" hidden="1" customHeight="1" outlineLevel="1" x14ac:dyDescent="0.3">
      <c r="A221" s="436" t="s">
        <v>653</v>
      </c>
      <c r="B221" s="452" t="s">
        <v>654</v>
      </c>
      <c r="C221" s="438"/>
      <c r="D221" s="438"/>
      <c r="E221" s="438"/>
      <c r="F221" s="438"/>
      <c r="G221" s="438"/>
      <c r="H221" s="438"/>
      <c r="I221" s="438"/>
      <c r="J221" s="438"/>
      <c r="K221" s="438"/>
      <c r="L221" s="438"/>
      <c r="M221" s="438"/>
      <c r="N221" s="438"/>
      <c r="O221" s="438">
        <f t="shared" si="49"/>
        <v>0</v>
      </c>
      <c r="P221" s="439"/>
      <c r="R221" s="521" t="str">
        <f t="shared" ref="R221:R231" si="50">IFERROR(AVERAGE(C221:N221)/AVERAGE($C$5:$N$5),"")</f>
        <v/>
      </c>
    </row>
    <row r="222" spans="1:18" hidden="1" outlineLevel="2" x14ac:dyDescent="0.3">
      <c r="A222" s="440" t="s">
        <v>655</v>
      </c>
      <c r="B222" s="441" t="s">
        <v>656</v>
      </c>
      <c r="O222">
        <f t="shared" si="49"/>
        <v>0</v>
      </c>
      <c r="P222" s="442"/>
      <c r="R222" s="521" t="str">
        <f t="shared" si="50"/>
        <v/>
      </c>
    </row>
    <row r="223" spans="1:18" hidden="1" outlineLevel="2" x14ac:dyDescent="0.3">
      <c r="A223" s="440" t="s">
        <v>657</v>
      </c>
      <c r="B223" s="441" t="s">
        <v>658</v>
      </c>
      <c r="O223">
        <f t="shared" si="49"/>
        <v>0</v>
      </c>
      <c r="P223" s="442"/>
      <c r="R223" s="521" t="str">
        <f t="shared" si="50"/>
        <v/>
      </c>
    </row>
    <row r="224" spans="1:18" ht="14.7" hidden="1" customHeight="1" outlineLevel="2" x14ac:dyDescent="0.3">
      <c r="A224" s="440" t="s">
        <v>659</v>
      </c>
      <c r="B224" s="441" t="s">
        <v>660</v>
      </c>
      <c r="O224">
        <f t="shared" si="49"/>
        <v>0</v>
      </c>
      <c r="P224" s="442"/>
      <c r="R224" s="521" t="str">
        <f t="shared" si="50"/>
        <v/>
      </c>
    </row>
    <row r="225" spans="1:18" hidden="1" outlineLevel="2" x14ac:dyDescent="0.3">
      <c r="A225" s="440" t="s">
        <v>661</v>
      </c>
      <c r="B225" s="441" t="s">
        <v>662</v>
      </c>
      <c r="O225">
        <f t="shared" si="49"/>
        <v>0</v>
      </c>
      <c r="P225" s="442"/>
      <c r="R225" s="521" t="str">
        <f t="shared" si="50"/>
        <v/>
      </c>
    </row>
    <row r="226" spans="1:18" hidden="1" outlineLevel="2" x14ac:dyDescent="0.3">
      <c r="A226" s="440" t="s">
        <v>663</v>
      </c>
      <c r="B226" s="441" t="s">
        <v>664</v>
      </c>
      <c r="O226">
        <f t="shared" si="49"/>
        <v>0</v>
      </c>
      <c r="P226" s="442"/>
      <c r="R226" s="521" t="str">
        <f t="shared" si="50"/>
        <v/>
      </c>
    </row>
    <row r="227" spans="1:18" hidden="1" outlineLevel="2" collapsed="1" x14ac:dyDescent="0.3">
      <c r="A227" s="440" t="s">
        <v>665</v>
      </c>
      <c r="B227" s="441" t="s">
        <v>666</v>
      </c>
      <c r="O227">
        <f t="shared" si="49"/>
        <v>0</v>
      </c>
      <c r="P227" s="442"/>
      <c r="R227" s="521" t="str">
        <f t="shared" si="50"/>
        <v/>
      </c>
    </row>
    <row r="228" spans="1:18" hidden="1" outlineLevel="2" x14ac:dyDescent="0.3">
      <c r="A228" s="440" t="s">
        <v>667</v>
      </c>
      <c r="B228" s="441" t="s">
        <v>668</v>
      </c>
      <c r="O228">
        <f t="shared" si="49"/>
        <v>0</v>
      </c>
      <c r="P228" s="442"/>
      <c r="R228" s="521" t="str">
        <f t="shared" si="50"/>
        <v/>
      </c>
    </row>
    <row r="229" spans="1:18" hidden="1" outlineLevel="2" x14ac:dyDescent="0.3">
      <c r="A229" s="440" t="s">
        <v>669</v>
      </c>
      <c r="B229" s="441" t="s">
        <v>670</v>
      </c>
      <c r="O229">
        <f t="shared" si="49"/>
        <v>0</v>
      </c>
      <c r="P229" s="442"/>
      <c r="R229" s="521" t="str">
        <f t="shared" si="50"/>
        <v/>
      </c>
    </row>
    <row r="230" spans="1:18" hidden="1" outlineLevel="2" collapsed="1" x14ac:dyDescent="0.3">
      <c r="A230" s="440" t="s">
        <v>671</v>
      </c>
      <c r="B230" s="441" t="s">
        <v>672</v>
      </c>
      <c r="O230">
        <f t="shared" si="49"/>
        <v>0</v>
      </c>
      <c r="P230" s="442"/>
      <c r="R230" s="521" t="str">
        <f t="shared" si="50"/>
        <v/>
      </c>
    </row>
    <row r="231" spans="1:18" hidden="1" outlineLevel="2" x14ac:dyDescent="0.3">
      <c r="A231" s="444" t="s">
        <v>673</v>
      </c>
      <c r="B231" s="445" t="s">
        <v>674</v>
      </c>
      <c r="C231" s="453"/>
      <c r="D231" s="453"/>
      <c r="E231" s="453"/>
      <c r="F231" s="453"/>
      <c r="G231" s="453"/>
      <c r="H231" s="453"/>
      <c r="I231" s="453"/>
      <c r="J231" s="453"/>
      <c r="K231" s="453"/>
      <c r="L231" s="453"/>
      <c r="M231" s="453"/>
      <c r="N231" s="453"/>
      <c r="O231" s="453">
        <f t="shared" si="49"/>
        <v>0</v>
      </c>
      <c r="P231" s="435"/>
      <c r="R231" s="521" t="str">
        <f t="shared" si="50"/>
        <v/>
      </c>
    </row>
    <row r="232" spans="1:18" hidden="1" outlineLevel="1" x14ac:dyDescent="0.3"/>
    <row r="233" spans="1:18" collapsed="1" x14ac:dyDescent="0.3"/>
  </sheetData>
  <mergeCells count="5">
    <mergeCell ref="A1:B1"/>
    <mergeCell ref="O2:O3"/>
    <mergeCell ref="P2:P3"/>
    <mergeCell ref="Q6:Q8"/>
    <mergeCell ref="Q10:Q12"/>
  </mergeCells>
  <conditionalFormatting sqref="A25:XFD25">
    <cfRule type="cellIs" dxfId="0" priority="2" operator="greaterThan">
      <formula>0</formula>
    </cfRule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52"/>
  <sheetViews>
    <sheetView workbookViewId="0"/>
  </sheetViews>
  <sheetFormatPr defaultRowHeight="14.4" outlineLevelRow="2" outlineLevelCol="1" x14ac:dyDescent="0.3"/>
  <cols>
    <col min="4" max="4" width="19.21875" customWidth="1"/>
    <col min="5" max="5" width="39.77734375" customWidth="1"/>
    <col min="6" max="6" width="14.21875" customWidth="1"/>
    <col min="7" max="8" width="8.77734375" hidden="1" customWidth="1" outlineLevel="1"/>
    <col min="9" max="9" width="12.5546875" bestFit="1" customWidth="1" collapsed="1"/>
    <col min="10" max="11" width="8.77734375" hidden="1" customWidth="1" outlineLevel="1"/>
    <col min="12" max="12" width="12.5546875" bestFit="1" customWidth="1" collapsed="1"/>
    <col min="13" max="14" width="8.77734375" hidden="1" customWidth="1" outlineLevel="1"/>
    <col min="15" max="15" width="13.77734375" bestFit="1" customWidth="1" collapsed="1"/>
    <col min="16" max="17" width="8.77734375" hidden="1" customWidth="1" outlineLevel="1"/>
    <col min="18" max="18" width="13.77734375" bestFit="1" customWidth="1" collapsed="1"/>
    <col min="19" max="20" width="8.77734375" hidden="1" customWidth="1" outlineLevel="1"/>
    <col min="21" max="21" width="13.77734375" bestFit="1" customWidth="1" collapsed="1"/>
    <col min="22" max="23" width="8.77734375" hidden="1" customWidth="1" outlineLevel="1"/>
    <col min="24" max="24" width="13.77734375" bestFit="1" customWidth="1" collapsed="1"/>
    <col min="25" max="26" width="8.77734375" hidden="1" customWidth="1" outlineLevel="1"/>
    <col min="27" max="27" width="13.77734375" bestFit="1" customWidth="1" collapsed="1"/>
    <col min="28" max="29" width="8.77734375" hidden="1" customWidth="1" outlineLevel="1"/>
    <col min="30" max="30" width="13.77734375" bestFit="1" customWidth="1" collapsed="1"/>
    <col min="31" max="32" width="8.77734375" hidden="1" customWidth="1" outlineLevel="1"/>
    <col min="33" max="33" width="13.77734375" bestFit="1" customWidth="1" collapsed="1"/>
    <col min="34" max="35" width="8.77734375" hidden="1" customWidth="1" outlineLevel="1"/>
    <col min="36" max="36" width="13.77734375" bestFit="1" customWidth="1" collapsed="1"/>
    <col min="37" max="38" width="8.77734375" hidden="1" customWidth="1" outlineLevel="1"/>
    <col min="39" max="39" width="13.77734375" bestFit="1" customWidth="1" collapsed="1"/>
    <col min="40" max="41" width="8.77734375" hidden="1" customWidth="1" outlineLevel="1"/>
    <col min="42" max="42" width="14.21875" style="2" customWidth="1" collapsed="1"/>
    <col min="43" max="43" width="11" hidden="1" customWidth="1" outlineLevel="1"/>
    <col min="44" max="44" width="8.77734375" hidden="1" customWidth="1" outlineLevel="1"/>
    <col min="45" max="45" width="10.77734375" customWidth="1" collapsed="1"/>
  </cols>
  <sheetData>
    <row r="1" spans="2:47" ht="21" x14ac:dyDescent="0.4">
      <c r="B1" s="1" t="s">
        <v>18</v>
      </c>
      <c r="C1" s="1"/>
      <c r="D1" s="1"/>
      <c r="E1" s="1"/>
      <c r="F1" t="s">
        <v>16</v>
      </c>
      <c r="I1" t="s">
        <v>0</v>
      </c>
      <c r="L1" t="s">
        <v>1</v>
      </c>
      <c r="O1" t="s">
        <v>2</v>
      </c>
      <c r="R1" t="s">
        <v>3</v>
      </c>
      <c r="U1" t="s">
        <v>4</v>
      </c>
      <c r="X1" t="s">
        <v>5</v>
      </c>
      <c r="AA1" t="s">
        <v>6</v>
      </c>
      <c r="AD1" t="s">
        <v>7</v>
      </c>
      <c r="AG1" t="s">
        <v>8</v>
      </c>
      <c r="AJ1" t="s">
        <v>9</v>
      </c>
      <c r="AM1" t="s">
        <v>10</v>
      </c>
      <c r="AP1" s="2" t="s">
        <v>19</v>
      </c>
    </row>
    <row r="2" spans="2:47" x14ac:dyDescent="0.3">
      <c r="F2" t="s">
        <v>20</v>
      </c>
      <c r="G2" t="s">
        <v>21</v>
      </c>
      <c r="H2" t="s">
        <v>22</v>
      </c>
      <c r="I2" t="s">
        <v>20</v>
      </c>
      <c r="J2" t="s">
        <v>21</v>
      </c>
      <c r="K2" t="s">
        <v>22</v>
      </c>
      <c r="L2" t="s">
        <v>20</v>
      </c>
      <c r="M2" t="s">
        <v>21</v>
      </c>
      <c r="N2" t="s">
        <v>22</v>
      </c>
      <c r="O2" t="s">
        <v>20</v>
      </c>
      <c r="P2" t="s">
        <v>21</v>
      </c>
      <c r="Q2" t="s">
        <v>22</v>
      </c>
      <c r="R2" t="s">
        <v>20</v>
      </c>
      <c r="S2" t="s">
        <v>21</v>
      </c>
      <c r="T2" t="s">
        <v>22</v>
      </c>
      <c r="U2" t="s">
        <v>20</v>
      </c>
      <c r="V2" t="s">
        <v>21</v>
      </c>
      <c r="W2" t="s">
        <v>22</v>
      </c>
      <c r="X2" t="s">
        <v>20</v>
      </c>
      <c r="Y2" t="s">
        <v>21</v>
      </c>
      <c r="Z2" t="s">
        <v>22</v>
      </c>
      <c r="AA2" t="s">
        <v>20</v>
      </c>
      <c r="AB2" t="s">
        <v>21</v>
      </c>
      <c r="AC2" t="s">
        <v>22</v>
      </c>
      <c r="AD2" t="s">
        <v>20</v>
      </c>
      <c r="AE2" t="s">
        <v>21</v>
      </c>
      <c r="AF2" t="s">
        <v>22</v>
      </c>
      <c r="AG2" t="s">
        <v>20</v>
      </c>
      <c r="AH2" t="s">
        <v>21</v>
      </c>
      <c r="AI2" t="s">
        <v>22</v>
      </c>
      <c r="AJ2" t="s">
        <v>20</v>
      </c>
      <c r="AK2" t="s">
        <v>21</v>
      </c>
      <c r="AL2" t="s">
        <v>22</v>
      </c>
      <c r="AM2" t="s">
        <v>20</v>
      </c>
      <c r="AN2" t="s">
        <v>21</v>
      </c>
      <c r="AO2" t="s">
        <v>22</v>
      </c>
      <c r="AP2" s="2" t="s">
        <v>23</v>
      </c>
      <c r="AQ2" t="s">
        <v>24</v>
      </c>
      <c r="AR2" t="s">
        <v>25</v>
      </c>
      <c r="AU2" t="s">
        <v>26</v>
      </c>
    </row>
    <row r="3" spans="2:47" ht="15" thickBot="1" x14ac:dyDescent="0.35">
      <c r="AU3" t="s">
        <v>27</v>
      </c>
    </row>
    <row r="4" spans="2:47" ht="15" thickBot="1" x14ac:dyDescent="0.35">
      <c r="B4" s="3"/>
      <c r="C4" s="4"/>
      <c r="D4" s="4"/>
      <c r="E4" s="5" t="s">
        <v>28</v>
      </c>
      <c r="F4" s="6">
        <f>F13+F20+F36+F41+F47+F53+F65+F72+F82+F92</f>
        <v>5390.9312499999996</v>
      </c>
      <c r="G4" s="6">
        <f t="shared" ref="G4:AM4" si="0">G13+G20+G36+G41+G47+G53+G65+G72+G82+G92</f>
        <v>466.73025000000001</v>
      </c>
      <c r="H4" s="6">
        <f t="shared" si="0"/>
        <v>466.73025000000001</v>
      </c>
      <c r="I4" s="6">
        <f t="shared" si="0"/>
        <v>4413.8769210624996</v>
      </c>
      <c r="J4" s="6">
        <f t="shared" si="0"/>
        <v>466.73025000000001</v>
      </c>
      <c r="K4" s="6">
        <f t="shared" si="0"/>
        <v>466.73025000000001</v>
      </c>
      <c r="L4" s="6">
        <f t="shared" si="0"/>
        <v>3885.7349229765623</v>
      </c>
      <c r="M4" s="6">
        <f t="shared" si="0"/>
        <v>552.00745965750002</v>
      </c>
      <c r="N4" s="6">
        <f t="shared" si="0"/>
        <v>552.00745965750002</v>
      </c>
      <c r="O4" s="6">
        <f t="shared" si="0"/>
        <v>4070.0271977642992</v>
      </c>
      <c r="P4" s="6">
        <f t="shared" si="0"/>
        <v>552.00745965750002</v>
      </c>
      <c r="Q4" s="6">
        <f t="shared" si="0"/>
        <v>552.00745965750002</v>
      </c>
      <c r="R4" s="6">
        <f t="shared" si="0"/>
        <v>6255.5817923299483</v>
      </c>
      <c r="S4" s="6">
        <f t="shared" si="0"/>
        <v>552.00745965750002</v>
      </c>
      <c r="T4" s="6">
        <f t="shared" si="0"/>
        <v>552.00745965750002</v>
      </c>
      <c r="U4" s="6">
        <f t="shared" si="0"/>
        <v>6657.1645272547148</v>
      </c>
      <c r="V4" s="6">
        <f t="shared" si="0"/>
        <v>552.00745965750002</v>
      </c>
      <c r="W4" s="6">
        <f t="shared" si="0"/>
        <v>552.00745965750002</v>
      </c>
      <c r="X4" s="6">
        <f t="shared" si="0"/>
        <v>4698.3864680520164</v>
      </c>
      <c r="Y4" s="6">
        <f t="shared" si="0"/>
        <v>552.00745965750002</v>
      </c>
      <c r="Z4" s="6">
        <f t="shared" si="0"/>
        <v>552.00745965750002</v>
      </c>
      <c r="AA4" s="6">
        <f t="shared" si="0"/>
        <v>5851.3183168839223</v>
      </c>
      <c r="AB4" s="6">
        <f t="shared" si="0"/>
        <v>552.00745965750002</v>
      </c>
      <c r="AC4" s="6">
        <f t="shared" si="0"/>
        <v>552.00745965750002</v>
      </c>
      <c r="AD4" s="6">
        <f t="shared" si="0"/>
        <v>6795.1557742502773</v>
      </c>
      <c r="AE4" s="6">
        <f t="shared" si="0"/>
        <v>552.00745965750002</v>
      </c>
      <c r="AF4" s="6">
        <f t="shared" si="0"/>
        <v>552.00745965750002</v>
      </c>
      <c r="AG4" s="6">
        <f t="shared" si="0"/>
        <v>6226.1950515345852</v>
      </c>
      <c r="AH4" s="6">
        <f t="shared" si="0"/>
        <v>552.00745965750002</v>
      </c>
      <c r="AI4" s="6">
        <f t="shared" si="0"/>
        <v>552.00745965750002</v>
      </c>
      <c r="AJ4" s="6">
        <f t="shared" si="0"/>
        <v>6089.4418660354859</v>
      </c>
      <c r="AK4" s="6">
        <f t="shared" si="0"/>
        <v>552.00745965750002</v>
      </c>
      <c r="AL4" s="6">
        <f t="shared" si="0"/>
        <v>552.00745965750002</v>
      </c>
      <c r="AM4" s="6">
        <f t="shared" si="0"/>
        <v>5346.8151066012288</v>
      </c>
      <c r="AN4" s="7">
        <f>AN13+AN20+AN36+AN41+AN47+AN53+AN65+AN72+AN82</f>
        <v>0</v>
      </c>
      <c r="AO4" s="7">
        <f>AO13+AO20+AO36+AO41+AO47+AO53+AO65+AO72+AO82</f>
        <v>0</v>
      </c>
      <c r="AP4" s="8">
        <f>AP13+AP20+AP36+AP41+AP47+AP53+AP65+AP72+AP82+AP92</f>
        <v>65680.629194745532</v>
      </c>
      <c r="AQ4" s="7"/>
      <c r="AR4" s="7"/>
      <c r="AS4" s="9">
        <f>AP4/$AP$4</f>
        <v>1</v>
      </c>
      <c r="AU4" t="s">
        <v>29</v>
      </c>
    </row>
    <row r="5" spans="2:47" ht="15" outlineLevel="1" thickBot="1" x14ac:dyDescent="0.35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U5" t="s">
        <v>30</v>
      </c>
    </row>
    <row r="6" spans="2:47" ht="15" outlineLevel="1" thickBot="1" x14ac:dyDescent="0.35">
      <c r="B6" s="10"/>
      <c r="C6" s="11"/>
      <c r="D6" s="11"/>
      <c r="E6" s="12" t="s">
        <v>31</v>
      </c>
      <c r="F6" s="13">
        <f>SUM(F8:F12)</f>
        <v>0</v>
      </c>
      <c r="G6" s="6">
        <f t="shared" ref="G6:AO6" si="1">SUM(G7:G12)</f>
        <v>0</v>
      </c>
      <c r="H6" s="6">
        <f t="shared" si="1"/>
        <v>0</v>
      </c>
      <c r="I6" s="6">
        <f t="shared" si="1"/>
        <v>0</v>
      </c>
      <c r="J6" s="6">
        <f t="shared" si="1"/>
        <v>0</v>
      </c>
      <c r="K6" s="6">
        <f t="shared" si="1"/>
        <v>0</v>
      </c>
      <c r="L6" s="6">
        <f t="shared" si="1"/>
        <v>0</v>
      </c>
      <c r="M6" s="6">
        <f t="shared" si="1"/>
        <v>0</v>
      </c>
      <c r="N6" s="6">
        <f t="shared" si="1"/>
        <v>0</v>
      </c>
      <c r="O6" s="6">
        <f t="shared" si="1"/>
        <v>0</v>
      </c>
      <c r="P6" s="6">
        <f t="shared" si="1"/>
        <v>0</v>
      </c>
      <c r="Q6" s="6">
        <f t="shared" si="1"/>
        <v>0</v>
      </c>
      <c r="R6" s="6">
        <f t="shared" si="1"/>
        <v>12408.000000000002</v>
      </c>
      <c r="S6" s="6">
        <f t="shared" si="1"/>
        <v>0</v>
      </c>
      <c r="T6" s="6">
        <f t="shared" si="1"/>
        <v>0</v>
      </c>
      <c r="U6" s="6">
        <f t="shared" si="1"/>
        <v>0</v>
      </c>
      <c r="V6" s="6">
        <f t="shared" si="1"/>
        <v>0</v>
      </c>
      <c r="W6" s="6">
        <f t="shared" si="1"/>
        <v>0</v>
      </c>
      <c r="X6" s="6">
        <f t="shared" si="1"/>
        <v>0</v>
      </c>
      <c r="Y6" s="6">
        <f t="shared" si="1"/>
        <v>0</v>
      </c>
      <c r="Z6" s="6">
        <f t="shared" si="1"/>
        <v>0</v>
      </c>
      <c r="AA6" s="6">
        <f t="shared" si="1"/>
        <v>8800</v>
      </c>
      <c r="AB6" s="6">
        <f t="shared" si="1"/>
        <v>0</v>
      </c>
      <c r="AC6" s="6">
        <f t="shared" si="1"/>
        <v>0</v>
      </c>
      <c r="AD6" s="6">
        <f t="shared" si="1"/>
        <v>11340</v>
      </c>
      <c r="AE6" s="6">
        <f t="shared" si="1"/>
        <v>0</v>
      </c>
      <c r="AF6" s="6">
        <f t="shared" si="1"/>
        <v>0</v>
      </c>
      <c r="AG6" s="6">
        <f t="shared" si="1"/>
        <v>0</v>
      </c>
      <c r="AH6" s="6">
        <f t="shared" si="1"/>
        <v>0</v>
      </c>
      <c r="AI6" s="6">
        <f t="shared" si="1"/>
        <v>0</v>
      </c>
      <c r="AJ6" s="6">
        <f t="shared" si="1"/>
        <v>0</v>
      </c>
      <c r="AK6" s="6">
        <f t="shared" si="1"/>
        <v>0</v>
      </c>
      <c r="AL6" s="6">
        <f t="shared" si="1"/>
        <v>0</v>
      </c>
      <c r="AM6" s="6">
        <f t="shared" si="1"/>
        <v>11725</v>
      </c>
      <c r="AN6" s="7">
        <f t="shared" si="1"/>
        <v>0</v>
      </c>
      <c r="AO6" s="7">
        <f t="shared" si="1"/>
        <v>0</v>
      </c>
      <c r="AP6" s="14">
        <f t="shared" ref="AP6:AP11" si="2">SUM(F6,I6,L6,O6,R6,U6,X6,AA6,AD6,AG6,AJ6,AM6)</f>
        <v>44273</v>
      </c>
      <c r="AQ6" s="11"/>
      <c r="AR6" s="11"/>
      <c r="AS6" s="15">
        <f>(AP6/$AP$6)</f>
        <v>1</v>
      </c>
      <c r="AU6" t="s">
        <v>32</v>
      </c>
    </row>
    <row r="7" spans="2:47" hidden="1" outlineLevel="2" x14ac:dyDescent="0.3">
      <c r="B7" s="16" t="s">
        <v>33</v>
      </c>
      <c r="D7" t="s">
        <v>31</v>
      </c>
      <c r="E7" t="s">
        <v>34</v>
      </c>
      <c r="F7" s="328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48"/>
      <c r="AO7" s="48"/>
      <c r="AP7" s="330">
        <f t="shared" si="2"/>
        <v>0</v>
      </c>
      <c r="AQ7" s="48"/>
      <c r="AR7" s="48"/>
      <c r="AS7" s="331">
        <f t="shared" ref="AS7:AS11" si="3">(AP7/$AP$6)</f>
        <v>0</v>
      </c>
      <c r="AU7" t="s">
        <v>35</v>
      </c>
    </row>
    <row r="8" spans="2:47" hidden="1" outlineLevel="2" x14ac:dyDescent="0.3">
      <c r="B8" s="16" t="s">
        <v>36</v>
      </c>
      <c r="D8" t="s">
        <v>31</v>
      </c>
      <c r="E8" t="s">
        <v>37</v>
      </c>
      <c r="F8" s="17">
        <f>'REVENUE ASSUMPTIONS'!G8</f>
        <v>0</v>
      </c>
      <c r="G8" s="2"/>
      <c r="H8" s="2"/>
      <c r="I8" s="2">
        <f>'REVENUE ASSUMPTIONS'!H8</f>
        <v>0</v>
      </c>
      <c r="J8" s="2"/>
      <c r="K8" s="2"/>
      <c r="L8" s="2">
        <f>'REVENUE ASSUMPTIONS'!I8</f>
        <v>0</v>
      </c>
      <c r="M8" s="2"/>
      <c r="N8" s="2"/>
      <c r="O8" s="2">
        <f>'REVENUE ASSUMPTIONS'!J8</f>
        <v>0</v>
      </c>
      <c r="P8" s="2"/>
      <c r="Q8" s="2"/>
      <c r="R8" s="2">
        <f>'REVENUE ASSUMPTIONS'!K8</f>
        <v>12408.000000000002</v>
      </c>
      <c r="S8" s="2"/>
      <c r="T8" s="2"/>
      <c r="U8" s="2">
        <f>'REVENUE ASSUMPTIONS'!L8</f>
        <v>0</v>
      </c>
      <c r="V8" s="2"/>
      <c r="W8" s="2"/>
      <c r="X8" s="2">
        <f>'REVENUE ASSUMPTIONS'!M8</f>
        <v>0</v>
      </c>
      <c r="Y8" s="2"/>
      <c r="Z8" s="2"/>
      <c r="AA8" s="2">
        <f>'REVENUE ASSUMPTIONS'!N8</f>
        <v>8800</v>
      </c>
      <c r="AB8" s="2"/>
      <c r="AC8" s="2"/>
      <c r="AD8" s="2">
        <f>'REVENUE ASSUMPTIONS'!O8</f>
        <v>11340</v>
      </c>
      <c r="AE8" s="2"/>
      <c r="AF8" s="2"/>
      <c r="AG8" s="2">
        <f>'REVENUE ASSUMPTIONS'!P8</f>
        <v>0</v>
      </c>
      <c r="AH8" s="2"/>
      <c r="AI8" s="2"/>
      <c r="AJ8" s="2">
        <f>'REVENUE ASSUMPTIONS'!Q8</f>
        <v>0</v>
      </c>
      <c r="AK8" s="2"/>
      <c r="AL8" s="2"/>
      <c r="AM8" s="2">
        <f>'REVENUE ASSUMPTIONS'!R8</f>
        <v>11725</v>
      </c>
      <c r="AP8" s="332">
        <f t="shared" si="2"/>
        <v>44273</v>
      </c>
      <c r="AS8" s="18">
        <f t="shared" si="3"/>
        <v>1</v>
      </c>
    </row>
    <row r="9" spans="2:47" hidden="1" outlineLevel="2" x14ac:dyDescent="0.3">
      <c r="B9" s="16" t="s">
        <v>38</v>
      </c>
      <c r="D9" t="s">
        <v>31</v>
      </c>
      <c r="E9" t="s">
        <v>39</v>
      </c>
      <c r="F9" s="1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P9" s="332">
        <f t="shared" si="2"/>
        <v>0</v>
      </c>
      <c r="AS9" s="18">
        <f t="shared" si="3"/>
        <v>0</v>
      </c>
      <c r="AU9" t="s">
        <v>40</v>
      </c>
    </row>
    <row r="10" spans="2:47" hidden="1" outlineLevel="2" x14ac:dyDescent="0.3">
      <c r="B10" s="16" t="s">
        <v>41</v>
      </c>
      <c r="D10" t="s">
        <v>31</v>
      </c>
      <c r="E10" t="s">
        <v>42</v>
      </c>
      <c r="F10" s="1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P10" s="332">
        <f t="shared" si="2"/>
        <v>0</v>
      </c>
      <c r="AS10" s="18">
        <f t="shared" si="3"/>
        <v>0</v>
      </c>
      <c r="AU10" t="s">
        <v>43</v>
      </c>
    </row>
    <row r="11" spans="2:47" ht="15" hidden="1" outlineLevel="2" thickBot="1" x14ac:dyDescent="0.35">
      <c r="B11" s="19" t="s">
        <v>44</v>
      </c>
      <c r="C11" s="20"/>
      <c r="D11" s="20" t="s">
        <v>31</v>
      </c>
      <c r="E11" s="20" t="s">
        <v>45</v>
      </c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0"/>
      <c r="AO11" s="20"/>
      <c r="AP11" s="23">
        <f t="shared" si="2"/>
        <v>0</v>
      </c>
      <c r="AQ11" s="20"/>
      <c r="AR11" s="20"/>
      <c r="AS11" s="24">
        <f t="shared" si="3"/>
        <v>0</v>
      </c>
      <c r="AU11" t="s">
        <v>46</v>
      </c>
    </row>
    <row r="12" spans="2:47" ht="15" outlineLevel="1" collapsed="1" thickBot="1" x14ac:dyDescent="0.35"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U12" t="s">
        <v>47</v>
      </c>
    </row>
    <row r="13" spans="2:47" ht="15" outlineLevel="1" thickBot="1" x14ac:dyDescent="0.35">
      <c r="B13" s="25" t="s">
        <v>48</v>
      </c>
      <c r="C13" s="26"/>
      <c r="D13" s="26"/>
      <c r="E13" s="27" t="s">
        <v>49</v>
      </c>
      <c r="F13" s="6">
        <f>SUM(F14:F18)</f>
        <v>0</v>
      </c>
      <c r="G13" s="6">
        <f t="shared" ref="G13:AM13" si="4">SUM(G14:G18)</f>
        <v>0</v>
      </c>
      <c r="H13" s="6">
        <f t="shared" si="4"/>
        <v>0</v>
      </c>
      <c r="I13" s="6">
        <f t="shared" si="4"/>
        <v>0</v>
      </c>
      <c r="J13" s="6">
        <f t="shared" si="4"/>
        <v>0</v>
      </c>
      <c r="K13" s="6">
        <f t="shared" si="4"/>
        <v>0</v>
      </c>
      <c r="L13" s="6">
        <f t="shared" si="4"/>
        <v>0</v>
      </c>
      <c r="M13" s="6">
        <f t="shared" si="4"/>
        <v>0</v>
      </c>
      <c r="N13" s="6">
        <f t="shared" si="4"/>
        <v>0</v>
      </c>
      <c r="O13" s="6">
        <f t="shared" si="4"/>
        <v>0</v>
      </c>
      <c r="P13" s="6">
        <f t="shared" si="4"/>
        <v>0</v>
      </c>
      <c r="Q13" s="6">
        <f t="shared" si="4"/>
        <v>0</v>
      </c>
      <c r="R13" s="6">
        <f t="shared" si="4"/>
        <v>749.48000000000013</v>
      </c>
      <c r="S13" s="6">
        <f t="shared" si="4"/>
        <v>0</v>
      </c>
      <c r="T13" s="6">
        <f t="shared" si="4"/>
        <v>0</v>
      </c>
      <c r="U13" s="6">
        <f>SUM(U14:U18)</f>
        <v>0</v>
      </c>
      <c r="V13" s="6">
        <f t="shared" si="4"/>
        <v>0</v>
      </c>
      <c r="W13" s="6">
        <f t="shared" si="4"/>
        <v>0</v>
      </c>
      <c r="X13" s="6">
        <f t="shared" si="4"/>
        <v>5</v>
      </c>
      <c r="Y13" s="6">
        <f t="shared" si="4"/>
        <v>0</v>
      </c>
      <c r="Z13" s="6">
        <f t="shared" si="4"/>
        <v>0</v>
      </c>
      <c r="AA13" s="6">
        <f t="shared" si="4"/>
        <v>533</v>
      </c>
      <c r="AB13" s="6">
        <f t="shared" si="4"/>
        <v>0</v>
      </c>
      <c r="AC13" s="6">
        <f t="shared" si="4"/>
        <v>0</v>
      </c>
      <c r="AD13" s="6">
        <f t="shared" si="4"/>
        <v>680.40000000000009</v>
      </c>
      <c r="AE13" s="6">
        <f t="shared" si="4"/>
        <v>0</v>
      </c>
      <c r="AF13" s="6">
        <f t="shared" si="4"/>
        <v>0</v>
      </c>
      <c r="AG13" s="6">
        <f t="shared" si="4"/>
        <v>0</v>
      </c>
      <c r="AH13" s="6">
        <f t="shared" si="4"/>
        <v>0</v>
      </c>
      <c r="AI13" s="6">
        <f t="shared" si="4"/>
        <v>0</v>
      </c>
      <c r="AJ13" s="6">
        <f t="shared" si="4"/>
        <v>0</v>
      </c>
      <c r="AK13" s="6">
        <f t="shared" si="4"/>
        <v>0</v>
      </c>
      <c r="AL13" s="6">
        <f t="shared" si="4"/>
        <v>0</v>
      </c>
      <c r="AM13" s="6">
        <f t="shared" si="4"/>
        <v>703.5</v>
      </c>
      <c r="AN13" s="7"/>
      <c r="AO13" s="7"/>
      <c r="AP13" s="28">
        <f>SUM(F13,I13,L13,O13,R13,U13,X13,AA13,AD13,AG13,AJ13,AM13)</f>
        <v>2671.38</v>
      </c>
      <c r="AQ13" s="7"/>
      <c r="AR13" s="7"/>
      <c r="AS13" s="29">
        <f>AP13/$AP$4</f>
        <v>4.0672265670282454E-2</v>
      </c>
    </row>
    <row r="14" spans="2:47" hidden="1" outlineLevel="2" x14ac:dyDescent="0.3">
      <c r="B14" s="30" t="s">
        <v>50</v>
      </c>
      <c r="C14" s="31"/>
      <c r="D14" s="31" t="s">
        <v>51</v>
      </c>
      <c r="E14" s="31" t="s">
        <v>52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P14" s="2">
        <f t="shared" ref="AP14:AP18" si="5">SUM(F14,I14,L14,O14,R14,U14,X14,AA14,AD14,AG14,AJ14,AM14)</f>
        <v>0</v>
      </c>
      <c r="AS14" s="18">
        <f t="shared" ref="AS14:AS18" si="6">AP14/$AP$4</f>
        <v>0</v>
      </c>
    </row>
    <row r="15" spans="2:47" hidden="1" outlineLevel="2" x14ac:dyDescent="0.3">
      <c r="B15" s="30" t="s">
        <v>53</v>
      </c>
      <c r="C15" s="31"/>
      <c r="D15" s="31" t="s">
        <v>17</v>
      </c>
      <c r="E15" s="31" t="s">
        <v>54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>
        <v>5</v>
      </c>
      <c r="S15" s="2"/>
      <c r="T15" s="2"/>
      <c r="U15" s="2"/>
      <c r="V15" s="2"/>
      <c r="W15" s="2"/>
      <c r="X15" s="2">
        <v>5</v>
      </c>
      <c r="Y15" s="2"/>
      <c r="Z15" s="2"/>
      <c r="AA15" s="2">
        <v>5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P15" s="2">
        <f t="shared" si="5"/>
        <v>15</v>
      </c>
      <c r="AS15" s="18">
        <f t="shared" si="6"/>
        <v>2.2837783656920273E-4</v>
      </c>
    </row>
    <row r="16" spans="2:47" hidden="1" outlineLevel="2" x14ac:dyDescent="0.3">
      <c r="B16" s="30" t="s">
        <v>55</v>
      </c>
      <c r="C16" s="31"/>
      <c r="D16" s="31" t="s">
        <v>56</v>
      </c>
      <c r="E16" s="31" t="s">
        <v>57</v>
      </c>
      <c r="F16" s="2">
        <f>F8*0.035</f>
        <v>0</v>
      </c>
      <c r="G16" s="2">
        <f t="shared" ref="G16:AM16" si="7">G8*0.035</f>
        <v>0</v>
      </c>
      <c r="H16" s="2">
        <f t="shared" si="7"/>
        <v>0</v>
      </c>
      <c r="I16" s="2">
        <f t="shared" si="7"/>
        <v>0</v>
      </c>
      <c r="J16" s="2">
        <f t="shared" si="7"/>
        <v>0</v>
      </c>
      <c r="K16" s="2">
        <f t="shared" si="7"/>
        <v>0</v>
      </c>
      <c r="L16" s="2">
        <f t="shared" si="7"/>
        <v>0</v>
      </c>
      <c r="M16" s="2">
        <f t="shared" si="7"/>
        <v>0</v>
      </c>
      <c r="N16" s="2">
        <f t="shared" si="7"/>
        <v>0</v>
      </c>
      <c r="O16" s="2">
        <f t="shared" si="7"/>
        <v>0</v>
      </c>
      <c r="P16" s="2">
        <f t="shared" si="7"/>
        <v>0</v>
      </c>
      <c r="Q16" s="2">
        <f t="shared" si="7"/>
        <v>0</v>
      </c>
      <c r="R16" s="2">
        <f t="shared" si="7"/>
        <v>434.28000000000009</v>
      </c>
      <c r="S16" s="2">
        <f t="shared" si="7"/>
        <v>0</v>
      </c>
      <c r="T16" s="2">
        <f t="shared" si="7"/>
        <v>0</v>
      </c>
      <c r="U16" s="2">
        <f t="shared" si="7"/>
        <v>0</v>
      </c>
      <c r="V16" s="2">
        <f t="shared" si="7"/>
        <v>0</v>
      </c>
      <c r="W16" s="2">
        <f t="shared" si="7"/>
        <v>0</v>
      </c>
      <c r="X16" s="2">
        <f t="shared" si="7"/>
        <v>0</v>
      </c>
      <c r="Y16" s="2">
        <f t="shared" si="7"/>
        <v>0</v>
      </c>
      <c r="Z16" s="2">
        <f t="shared" si="7"/>
        <v>0</v>
      </c>
      <c r="AA16" s="2">
        <f t="shared" si="7"/>
        <v>308.00000000000006</v>
      </c>
      <c r="AB16" s="2">
        <f t="shared" si="7"/>
        <v>0</v>
      </c>
      <c r="AC16" s="2">
        <f t="shared" si="7"/>
        <v>0</v>
      </c>
      <c r="AD16" s="2">
        <f t="shared" si="7"/>
        <v>396.90000000000003</v>
      </c>
      <c r="AE16" s="2">
        <f t="shared" si="7"/>
        <v>0</v>
      </c>
      <c r="AF16" s="2">
        <f t="shared" si="7"/>
        <v>0</v>
      </c>
      <c r="AG16" s="2">
        <f t="shared" si="7"/>
        <v>0</v>
      </c>
      <c r="AH16" s="2">
        <f t="shared" si="7"/>
        <v>0</v>
      </c>
      <c r="AI16" s="2">
        <f t="shared" si="7"/>
        <v>0</v>
      </c>
      <c r="AJ16" s="2">
        <f t="shared" si="7"/>
        <v>0</v>
      </c>
      <c r="AK16" s="2">
        <f t="shared" si="7"/>
        <v>0</v>
      </c>
      <c r="AL16" s="2">
        <f t="shared" si="7"/>
        <v>0</v>
      </c>
      <c r="AM16" s="2">
        <f t="shared" si="7"/>
        <v>410.37500000000006</v>
      </c>
      <c r="AP16" s="2">
        <f t="shared" si="5"/>
        <v>1549.5550000000003</v>
      </c>
      <c r="AS16" s="18">
        <f t="shared" si="6"/>
        <v>2.3592267902999398E-2</v>
      </c>
    </row>
    <row r="17" spans="2:45" hidden="1" outlineLevel="2" x14ac:dyDescent="0.3">
      <c r="B17" s="30" t="s">
        <v>58</v>
      </c>
      <c r="C17" s="31"/>
      <c r="D17" s="31" t="s">
        <v>51</v>
      </c>
      <c r="E17" s="31" t="s">
        <v>59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P17" s="2">
        <f t="shared" si="5"/>
        <v>0</v>
      </c>
      <c r="AS17" s="18">
        <f t="shared" si="6"/>
        <v>0</v>
      </c>
    </row>
    <row r="18" spans="2:45" ht="15" hidden="1" outlineLevel="2" thickBot="1" x14ac:dyDescent="0.35">
      <c r="B18" s="32" t="s">
        <v>60</v>
      </c>
      <c r="C18" s="33"/>
      <c r="D18" s="33" t="s">
        <v>56</v>
      </c>
      <c r="E18" s="33" t="s">
        <v>61</v>
      </c>
      <c r="F18" s="22">
        <f>0.025*F8</f>
        <v>0</v>
      </c>
      <c r="G18" s="22">
        <f t="shared" ref="G18:AM18" si="8">0.025*G8</f>
        <v>0</v>
      </c>
      <c r="H18" s="22">
        <f t="shared" si="8"/>
        <v>0</v>
      </c>
      <c r="I18" s="22">
        <f t="shared" si="8"/>
        <v>0</v>
      </c>
      <c r="J18" s="22">
        <f t="shared" si="8"/>
        <v>0</v>
      </c>
      <c r="K18" s="22">
        <f t="shared" si="8"/>
        <v>0</v>
      </c>
      <c r="L18" s="22">
        <f t="shared" si="8"/>
        <v>0</v>
      </c>
      <c r="M18" s="22">
        <f t="shared" si="8"/>
        <v>0</v>
      </c>
      <c r="N18" s="22">
        <f t="shared" si="8"/>
        <v>0</v>
      </c>
      <c r="O18" s="22">
        <f t="shared" si="8"/>
        <v>0</v>
      </c>
      <c r="P18" s="22">
        <f t="shared" si="8"/>
        <v>0</v>
      </c>
      <c r="Q18" s="22">
        <f t="shared" si="8"/>
        <v>0</v>
      </c>
      <c r="R18" s="22">
        <f t="shared" si="8"/>
        <v>310.20000000000005</v>
      </c>
      <c r="S18" s="22">
        <f t="shared" si="8"/>
        <v>0</v>
      </c>
      <c r="T18" s="22">
        <f t="shared" si="8"/>
        <v>0</v>
      </c>
      <c r="U18" s="22">
        <f t="shared" si="8"/>
        <v>0</v>
      </c>
      <c r="V18" s="22">
        <f t="shared" si="8"/>
        <v>0</v>
      </c>
      <c r="W18" s="22">
        <f t="shared" si="8"/>
        <v>0</v>
      </c>
      <c r="X18" s="22">
        <f t="shared" si="8"/>
        <v>0</v>
      </c>
      <c r="Y18" s="22">
        <f t="shared" si="8"/>
        <v>0</v>
      </c>
      <c r="Z18" s="22">
        <f t="shared" si="8"/>
        <v>0</v>
      </c>
      <c r="AA18" s="22">
        <f t="shared" si="8"/>
        <v>220</v>
      </c>
      <c r="AB18" s="22">
        <f t="shared" si="8"/>
        <v>0</v>
      </c>
      <c r="AC18" s="22">
        <f t="shared" si="8"/>
        <v>0</v>
      </c>
      <c r="AD18" s="22">
        <f t="shared" si="8"/>
        <v>283.5</v>
      </c>
      <c r="AE18" s="22">
        <f t="shared" si="8"/>
        <v>0</v>
      </c>
      <c r="AF18" s="22">
        <f t="shared" si="8"/>
        <v>0</v>
      </c>
      <c r="AG18" s="22">
        <f t="shared" si="8"/>
        <v>0</v>
      </c>
      <c r="AH18" s="22">
        <f t="shared" si="8"/>
        <v>0</v>
      </c>
      <c r="AI18" s="22">
        <f t="shared" si="8"/>
        <v>0</v>
      </c>
      <c r="AJ18" s="22">
        <f t="shared" si="8"/>
        <v>0</v>
      </c>
      <c r="AK18" s="22">
        <f t="shared" si="8"/>
        <v>0</v>
      </c>
      <c r="AL18" s="22">
        <f t="shared" si="8"/>
        <v>0</v>
      </c>
      <c r="AM18" s="22">
        <f t="shared" si="8"/>
        <v>293.125</v>
      </c>
      <c r="AN18" s="20">
        <f t="shared" ref="AN18:AO18" si="9">0.072*AN8</f>
        <v>0</v>
      </c>
      <c r="AO18" s="20">
        <f t="shared" si="9"/>
        <v>0</v>
      </c>
      <c r="AP18" s="22">
        <f t="shared" si="5"/>
        <v>1106.825</v>
      </c>
      <c r="AQ18" s="20"/>
      <c r="AR18" s="20"/>
      <c r="AS18" s="24">
        <f t="shared" si="6"/>
        <v>1.6851619930713855E-2</v>
      </c>
    </row>
    <row r="19" spans="2:45" ht="15" outlineLevel="1" collapsed="1" thickBot="1" x14ac:dyDescent="0.35">
      <c r="B19" s="31"/>
      <c r="C19" s="31"/>
      <c r="D19" s="31"/>
      <c r="E19" s="3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2:45" ht="15" outlineLevel="1" thickBot="1" x14ac:dyDescent="0.35">
      <c r="B20" s="34" t="s">
        <v>62</v>
      </c>
      <c r="C20" s="35"/>
      <c r="D20" s="35"/>
      <c r="E20" s="36" t="s">
        <v>63</v>
      </c>
      <c r="F20" s="6">
        <f t="shared" ref="F20:AM20" si="10">SUM(F21:F34)</f>
        <v>435</v>
      </c>
      <c r="G20" s="6">
        <f t="shared" si="10"/>
        <v>0</v>
      </c>
      <c r="H20" s="6">
        <f t="shared" si="10"/>
        <v>0</v>
      </c>
      <c r="I20" s="6">
        <f t="shared" si="10"/>
        <v>753</v>
      </c>
      <c r="J20" s="6">
        <f t="shared" si="10"/>
        <v>0</v>
      </c>
      <c r="K20" s="6">
        <f t="shared" si="10"/>
        <v>0</v>
      </c>
      <c r="L20" s="6">
        <f t="shared" si="10"/>
        <v>435</v>
      </c>
      <c r="M20" s="6">
        <f t="shared" si="10"/>
        <v>0</v>
      </c>
      <c r="N20" s="6">
        <f t="shared" si="10"/>
        <v>0</v>
      </c>
      <c r="O20" s="6">
        <f t="shared" si="10"/>
        <v>435</v>
      </c>
      <c r="P20" s="6">
        <f t="shared" si="10"/>
        <v>0</v>
      </c>
      <c r="Q20" s="6">
        <f t="shared" si="10"/>
        <v>0</v>
      </c>
      <c r="R20" s="6">
        <f t="shared" si="10"/>
        <v>1775</v>
      </c>
      <c r="S20" s="6">
        <f t="shared" si="10"/>
        <v>0</v>
      </c>
      <c r="T20" s="6">
        <f t="shared" si="10"/>
        <v>0</v>
      </c>
      <c r="U20" s="6">
        <f t="shared" si="10"/>
        <v>1071</v>
      </c>
      <c r="V20" s="6">
        <f t="shared" si="10"/>
        <v>0</v>
      </c>
      <c r="W20" s="6">
        <f t="shared" si="10"/>
        <v>0</v>
      </c>
      <c r="X20" s="6">
        <f t="shared" si="10"/>
        <v>435</v>
      </c>
      <c r="Y20" s="6">
        <f t="shared" si="10"/>
        <v>0</v>
      </c>
      <c r="Z20" s="6">
        <f t="shared" si="10"/>
        <v>0</v>
      </c>
      <c r="AA20" s="6">
        <f t="shared" si="10"/>
        <v>1071</v>
      </c>
      <c r="AB20" s="6">
        <f t="shared" si="10"/>
        <v>0</v>
      </c>
      <c r="AC20" s="6">
        <f t="shared" si="10"/>
        <v>0</v>
      </c>
      <c r="AD20" s="6">
        <f t="shared" si="10"/>
        <v>435</v>
      </c>
      <c r="AE20" s="6">
        <f t="shared" si="10"/>
        <v>0</v>
      </c>
      <c r="AF20" s="6">
        <f t="shared" si="10"/>
        <v>0</v>
      </c>
      <c r="AG20" s="6">
        <f t="shared" si="10"/>
        <v>435</v>
      </c>
      <c r="AH20" s="6">
        <f t="shared" si="10"/>
        <v>0</v>
      </c>
      <c r="AI20" s="6">
        <f t="shared" si="10"/>
        <v>0</v>
      </c>
      <c r="AJ20" s="6">
        <f t="shared" si="10"/>
        <v>575</v>
      </c>
      <c r="AK20" s="6">
        <f t="shared" si="10"/>
        <v>0</v>
      </c>
      <c r="AL20" s="6">
        <f t="shared" si="10"/>
        <v>0</v>
      </c>
      <c r="AM20" s="6">
        <f t="shared" si="10"/>
        <v>435</v>
      </c>
      <c r="AN20" s="7"/>
      <c r="AO20" s="7"/>
      <c r="AP20" s="28">
        <f>SUM(F20,I20,L20,O20,R20,U20,X20,AA20,AD20,AG20,AJ20,AM20)</f>
        <v>8290</v>
      </c>
      <c r="AQ20" s="7"/>
      <c r="AR20" s="7"/>
      <c r="AS20" s="29">
        <f>AP20/$AP$4</f>
        <v>0.12621681767724605</v>
      </c>
    </row>
    <row r="21" spans="2:45" hidden="1" outlineLevel="2" x14ac:dyDescent="0.3">
      <c r="B21" s="30" t="s">
        <v>64</v>
      </c>
      <c r="C21" s="31"/>
      <c r="D21" s="31" t="s">
        <v>65</v>
      </c>
      <c r="E21" s="31" t="s">
        <v>66</v>
      </c>
      <c r="F21" s="2"/>
      <c r="G21" s="2"/>
      <c r="H21" s="2"/>
      <c r="I21" s="2">
        <f>1.5*212</f>
        <v>318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>
        <f>1.5*212*2</f>
        <v>636</v>
      </c>
      <c r="V21" s="2"/>
      <c r="W21" s="2"/>
      <c r="Y21" s="2"/>
      <c r="Z21" s="2"/>
      <c r="AA21" s="2">
        <f>212*1.5*2</f>
        <v>636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P21" s="2" t="e">
        <f>SUM(F21,I21,L21,O21,R21,#REF!,U21,AA21,AD21,AG21,AJ21,AM21)</f>
        <v>#REF!</v>
      </c>
      <c r="AS21" s="18" t="e">
        <f t="shared" ref="AS21:AS34" si="11">AP21/$AP$4</f>
        <v>#REF!</v>
      </c>
    </row>
    <row r="22" spans="2:45" hidden="1" outlineLevel="2" x14ac:dyDescent="0.3">
      <c r="B22" s="30" t="s">
        <v>67</v>
      </c>
      <c r="C22" s="31"/>
      <c r="D22" s="31" t="s">
        <v>65</v>
      </c>
      <c r="E22" s="31" t="s">
        <v>68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P22" s="2">
        <f t="shared" ref="AP22:AP34" si="12">SUM(F22,I22,L22,O22,R22,U22,X22,AA22,AD22,AG22,AJ22,AM22)</f>
        <v>0</v>
      </c>
      <c r="AS22" s="18">
        <f t="shared" si="11"/>
        <v>0</v>
      </c>
    </row>
    <row r="23" spans="2:45" hidden="1" outlineLevel="2" x14ac:dyDescent="0.3">
      <c r="B23" s="30" t="s">
        <v>69</v>
      </c>
      <c r="C23" s="31"/>
      <c r="D23" s="31"/>
      <c r="E23" s="31" t="s">
        <v>70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P23" s="2">
        <f t="shared" si="12"/>
        <v>0</v>
      </c>
      <c r="AS23" s="18">
        <f t="shared" si="11"/>
        <v>0</v>
      </c>
    </row>
    <row r="24" spans="2:45" hidden="1" outlineLevel="2" x14ac:dyDescent="0.3">
      <c r="B24" s="30" t="s">
        <v>71</v>
      </c>
      <c r="C24" s="31"/>
      <c r="D24" s="31"/>
      <c r="E24" s="31" t="s">
        <v>72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P24" s="2">
        <f t="shared" si="12"/>
        <v>0</v>
      </c>
      <c r="AS24" s="18">
        <f t="shared" si="11"/>
        <v>0</v>
      </c>
    </row>
    <row r="25" spans="2:45" hidden="1" outlineLevel="2" x14ac:dyDescent="0.3">
      <c r="B25" s="30" t="s">
        <v>73</v>
      </c>
      <c r="C25" s="31"/>
      <c r="D25" s="31"/>
      <c r="E25" s="31" t="s">
        <v>74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P25" s="2">
        <f t="shared" si="12"/>
        <v>0</v>
      </c>
      <c r="AS25" s="18">
        <f t="shared" si="11"/>
        <v>0</v>
      </c>
    </row>
    <row r="26" spans="2:45" hidden="1" outlineLevel="2" x14ac:dyDescent="0.3">
      <c r="B26" s="30" t="s">
        <v>75</v>
      </c>
      <c r="C26" s="31"/>
      <c r="D26" s="31" t="s">
        <v>76</v>
      </c>
      <c r="E26" s="31" t="s">
        <v>77</v>
      </c>
      <c r="F26" s="2">
        <v>5</v>
      </c>
      <c r="G26" s="2"/>
      <c r="H26" s="2"/>
      <c r="I26" s="2">
        <v>5</v>
      </c>
      <c r="J26" s="2"/>
      <c r="K26" s="2"/>
      <c r="L26" s="2">
        <v>5</v>
      </c>
      <c r="M26" s="2"/>
      <c r="N26" s="2"/>
      <c r="O26" s="2">
        <v>5</v>
      </c>
      <c r="P26" s="2"/>
      <c r="Q26" s="2"/>
      <c r="R26" s="2">
        <v>5</v>
      </c>
      <c r="S26" s="2"/>
      <c r="T26" s="2"/>
      <c r="U26" s="2">
        <v>5</v>
      </c>
      <c r="V26" s="2"/>
      <c r="W26" s="2"/>
      <c r="X26" s="2">
        <v>5</v>
      </c>
      <c r="Y26" s="2"/>
      <c r="Z26" s="2"/>
      <c r="AA26" s="2">
        <v>5</v>
      </c>
      <c r="AB26" s="2"/>
      <c r="AC26" s="2"/>
      <c r="AD26" s="2">
        <v>5</v>
      </c>
      <c r="AE26" s="2"/>
      <c r="AF26" s="2"/>
      <c r="AG26" s="2">
        <v>5</v>
      </c>
      <c r="AH26" s="2"/>
      <c r="AI26" s="2"/>
      <c r="AJ26" s="2">
        <v>5</v>
      </c>
      <c r="AK26" s="2"/>
      <c r="AL26" s="2"/>
      <c r="AM26" s="2">
        <v>5</v>
      </c>
      <c r="AP26" s="2">
        <f t="shared" si="12"/>
        <v>60</v>
      </c>
      <c r="AS26" s="18">
        <f t="shared" si="11"/>
        <v>9.1351134627681092E-4</v>
      </c>
    </row>
    <row r="27" spans="2:45" hidden="1" outlineLevel="2" x14ac:dyDescent="0.3">
      <c r="B27" s="30" t="s">
        <v>78</v>
      </c>
      <c r="C27" s="31"/>
      <c r="D27" s="31" t="s">
        <v>76</v>
      </c>
      <c r="E27" s="31" t="s">
        <v>79</v>
      </c>
      <c r="F27" s="2">
        <v>10</v>
      </c>
      <c r="G27" s="2"/>
      <c r="H27" s="2"/>
      <c r="I27" s="2">
        <v>10</v>
      </c>
      <c r="J27" s="2"/>
      <c r="K27" s="2"/>
      <c r="L27" s="2">
        <v>10</v>
      </c>
      <c r="M27" s="2"/>
      <c r="N27" s="2"/>
      <c r="O27" s="2">
        <v>10</v>
      </c>
      <c r="P27" s="2"/>
      <c r="Q27" s="2"/>
      <c r="R27" s="2">
        <v>10</v>
      </c>
      <c r="S27" s="2"/>
      <c r="T27" s="2"/>
      <c r="U27" s="2">
        <v>10</v>
      </c>
      <c r="V27" s="2"/>
      <c r="W27" s="2"/>
      <c r="X27" s="2">
        <v>10</v>
      </c>
      <c r="Y27" s="2"/>
      <c r="Z27" s="2"/>
      <c r="AA27" s="2">
        <v>10</v>
      </c>
      <c r="AB27" s="2"/>
      <c r="AC27" s="2"/>
      <c r="AD27" s="2">
        <v>10</v>
      </c>
      <c r="AE27" s="2"/>
      <c r="AF27" s="2"/>
      <c r="AG27" s="2">
        <v>10</v>
      </c>
      <c r="AH27" s="2"/>
      <c r="AI27" s="2"/>
      <c r="AJ27" s="2">
        <v>10</v>
      </c>
      <c r="AK27" s="2"/>
      <c r="AL27" s="2"/>
      <c r="AM27" s="2">
        <v>10</v>
      </c>
      <c r="AP27" s="2">
        <f t="shared" si="12"/>
        <v>120</v>
      </c>
      <c r="AS27" s="18">
        <f t="shared" si="11"/>
        <v>1.8270226925536218E-3</v>
      </c>
    </row>
    <row r="28" spans="2:45" hidden="1" outlineLevel="2" x14ac:dyDescent="0.3">
      <c r="B28" s="30" t="s">
        <v>80</v>
      </c>
      <c r="C28" s="31"/>
      <c r="D28" s="31" t="s">
        <v>76</v>
      </c>
      <c r="E28" s="31" t="s">
        <v>81</v>
      </c>
      <c r="F28" s="2">
        <v>250</v>
      </c>
      <c r="G28" s="2"/>
      <c r="H28" s="2"/>
      <c r="I28" s="2">
        <v>250</v>
      </c>
      <c r="J28" s="2"/>
      <c r="K28" s="2"/>
      <c r="L28" s="2">
        <v>250</v>
      </c>
      <c r="M28" s="2"/>
      <c r="N28" s="2"/>
      <c r="O28" s="2">
        <v>250</v>
      </c>
      <c r="P28" s="2"/>
      <c r="Q28" s="2"/>
      <c r="R28" s="2">
        <v>250</v>
      </c>
      <c r="S28" s="2"/>
      <c r="T28" s="2"/>
      <c r="U28" s="2">
        <v>250</v>
      </c>
      <c r="V28" s="2"/>
      <c r="W28" s="2"/>
      <c r="X28" s="2">
        <v>250</v>
      </c>
      <c r="Y28" s="2"/>
      <c r="Z28" s="2"/>
      <c r="AA28" s="2">
        <v>250</v>
      </c>
      <c r="AB28" s="2"/>
      <c r="AC28" s="2"/>
      <c r="AD28" s="2">
        <v>250</v>
      </c>
      <c r="AE28" s="2"/>
      <c r="AF28" s="2"/>
      <c r="AG28" s="2">
        <v>250</v>
      </c>
      <c r="AH28" s="2"/>
      <c r="AI28" s="2"/>
      <c r="AJ28" s="2">
        <v>250</v>
      </c>
      <c r="AK28" s="2"/>
      <c r="AL28" s="2"/>
      <c r="AM28" s="2">
        <v>250</v>
      </c>
      <c r="AP28" s="2">
        <f t="shared" si="12"/>
        <v>3000</v>
      </c>
      <c r="AS28" s="18">
        <f t="shared" si="11"/>
        <v>4.5675567313840544E-2</v>
      </c>
    </row>
    <row r="29" spans="2:45" hidden="1" outlineLevel="2" x14ac:dyDescent="0.3">
      <c r="B29" s="30" t="s">
        <v>82</v>
      </c>
      <c r="C29" s="31"/>
      <c r="D29" s="31" t="s">
        <v>76</v>
      </c>
      <c r="E29" s="31" t="s">
        <v>83</v>
      </c>
      <c r="F29" s="2">
        <v>150</v>
      </c>
      <c r="G29" s="2"/>
      <c r="H29" s="2"/>
      <c r="I29" s="2">
        <v>150</v>
      </c>
      <c r="J29" s="2"/>
      <c r="K29" s="2"/>
      <c r="L29" s="2">
        <v>150</v>
      </c>
      <c r="M29" s="2"/>
      <c r="N29" s="2"/>
      <c r="O29" s="2">
        <v>150</v>
      </c>
      <c r="P29" s="2"/>
      <c r="Q29" s="2"/>
      <c r="R29" s="2">
        <v>150</v>
      </c>
      <c r="S29" s="2"/>
      <c r="T29" s="2"/>
      <c r="U29" s="2">
        <v>150</v>
      </c>
      <c r="V29" s="2"/>
      <c r="W29" s="2"/>
      <c r="X29" s="2">
        <v>150</v>
      </c>
      <c r="Y29" s="2"/>
      <c r="Z29" s="2"/>
      <c r="AA29" s="2">
        <v>150</v>
      </c>
      <c r="AB29" s="2"/>
      <c r="AC29" s="2"/>
      <c r="AD29" s="2">
        <v>150</v>
      </c>
      <c r="AE29" s="2"/>
      <c r="AF29" s="2"/>
      <c r="AG29" s="2">
        <v>150</v>
      </c>
      <c r="AH29" s="2"/>
      <c r="AI29" s="2"/>
      <c r="AJ29" s="2">
        <v>150</v>
      </c>
      <c r="AK29" s="2"/>
      <c r="AL29" s="2"/>
      <c r="AM29" s="2">
        <v>150</v>
      </c>
      <c r="AP29" s="2">
        <f t="shared" si="12"/>
        <v>1800</v>
      </c>
      <c r="AS29" s="18">
        <f t="shared" si="11"/>
        <v>2.7405340388304326E-2</v>
      </c>
    </row>
    <row r="30" spans="2:45" hidden="1" outlineLevel="2" x14ac:dyDescent="0.3">
      <c r="B30" s="30" t="s">
        <v>84</v>
      </c>
      <c r="C30" s="31"/>
      <c r="D30" s="31" t="s">
        <v>76</v>
      </c>
      <c r="E30" s="31" t="s">
        <v>85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P30" s="2">
        <f t="shared" si="12"/>
        <v>0</v>
      </c>
      <c r="AS30" s="18">
        <f t="shared" si="11"/>
        <v>0</v>
      </c>
    </row>
    <row r="31" spans="2:45" hidden="1" outlineLevel="2" x14ac:dyDescent="0.3">
      <c r="B31" s="30" t="s">
        <v>86</v>
      </c>
      <c r="C31" s="31"/>
      <c r="D31" s="31" t="s">
        <v>76</v>
      </c>
      <c r="E31" s="31" t="s">
        <v>87</v>
      </c>
      <c r="F31" s="2">
        <v>10</v>
      </c>
      <c r="G31" s="2"/>
      <c r="H31" s="2"/>
      <c r="I31" s="2">
        <v>10</v>
      </c>
      <c r="J31" s="2"/>
      <c r="K31" s="2"/>
      <c r="L31" s="2">
        <v>10</v>
      </c>
      <c r="M31" s="2"/>
      <c r="N31" s="2"/>
      <c r="O31" s="2">
        <v>10</v>
      </c>
      <c r="P31" s="2"/>
      <c r="Q31" s="2"/>
      <c r="R31" s="2">
        <v>150</v>
      </c>
      <c r="S31" s="2"/>
      <c r="T31" s="2"/>
      <c r="U31" s="2">
        <v>10</v>
      </c>
      <c r="V31" s="2"/>
      <c r="W31" s="2"/>
      <c r="X31" s="2">
        <v>10</v>
      </c>
      <c r="Y31" s="2"/>
      <c r="Z31" s="2"/>
      <c r="AA31" s="2">
        <v>10</v>
      </c>
      <c r="AB31" s="2"/>
      <c r="AC31" s="2"/>
      <c r="AD31" s="2">
        <v>10</v>
      </c>
      <c r="AE31" s="2"/>
      <c r="AF31" s="2"/>
      <c r="AG31" s="2">
        <v>10</v>
      </c>
      <c r="AH31" s="2"/>
      <c r="AI31" s="2"/>
      <c r="AJ31" s="2">
        <v>150</v>
      </c>
      <c r="AK31" s="2"/>
      <c r="AL31" s="2"/>
      <c r="AM31" s="2">
        <v>10</v>
      </c>
      <c r="AP31" s="2">
        <f t="shared" si="12"/>
        <v>400</v>
      </c>
      <c r="AS31" s="18">
        <f t="shared" si="11"/>
        <v>6.0900756418454062E-3</v>
      </c>
    </row>
    <row r="32" spans="2:45" hidden="1" outlineLevel="2" x14ac:dyDescent="0.3">
      <c r="B32" s="30" t="s">
        <v>88</v>
      </c>
      <c r="C32" s="31"/>
      <c r="D32" s="31" t="s">
        <v>76</v>
      </c>
      <c r="E32" s="31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P32" s="2">
        <f t="shared" si="12"/>
        <v>0</v>
      </c>
      <c r="AS32" s="18">
        <f t="shared" si="11"/>
        <v>0</v>
      </c>
    </row>
    <row r="33" spans="2:45" hidden="1" outlineLevel="2" x14ac:dyDescent="0.3">
      <c r="B33" s="30" t="s">
        <v>90</v>
      </c>
      <c r="D33" s="31" t="s">
        <v>76</v>
      </c>
      <c r="E33" s="31" t="s">
        <v>91</v>
      </c>
      <c r="F33" s="2">
        <v>10</v>
      </c>
      <c r="G33" s="2"/>
      <c r="H33" s="2"/>
      <c r="I33" s="2">
        <v>10</v>
      </c>
      <c r="J33" s="2"/>
      <c r="K33" s="2"/>
      <c r="L33" s="2">
        <v>10</v>
      </c>
      <c r="M33" s="2"/>
      <c r="N33" s="2"/>
      <c r="O33" s="2">
        <v>10</v>
      </c>
      <c r="P33" s="2"/>
      <c r="Q33" s="2"/>
      <c r="R33" s="2">
        <v>10</v>
      </c>
      <c r="S33" s="2"/>
      <c r="T33" s="2"/>
      <c r="U33" s="2">
        <v>10</v>
      </c>
      <c r="V33" s="2"/>
      <c r="W33" s="2"/>
      <c r="X33" s="2">
        <v>10</v>
      </c>
      <c r="Y33" s="2"/>
      <c r="Z33" s="2"/>
      <c r="AA33" s="2">
        <v>10</v>
      </c>
      <c r="AB33" s="2"/>
      <c r="AC33" s="2"/>
      <c r="AD33" s="2">
        <v>10</v>
      </c>
      <c r="AE33" s="2"/>
      <c r="AF33" s="2"/>
      <c r="AG33" s="2">
        <v>10</v>
      </c>
      <c r="AH33" s="2"/>
      <c r="AI33" s="2"/>
      <c r="AJ33" s="2">
        <v>10</v>
      </c>
      <c r="AK33" s="2"/>
      <c r="AL33" s="2"/>
      <c r="AM33" s="2">
        <v>10</v>
      </c>
      <c r="AP33" s="2">
        <f t="shared" si="12"/>
        <v>120</v>
      </c>
      <c r="AS33" s="18">
        <f t="shared" si="11"/>
        <v>1.8270226925536218E-3</v>
      </c>
    </row>
    <row r="34" spans="2:45" ht="15" hidden="1" outlineLevel="2" thickBot="1" x14ac:dyDescent="0.35">
      <c r="B34" s="37" t="s">
        <v>92</v>
      </c>
      <c r="C34" s="20"/>
      <c r="D34" s="33" t="s">
        <v>76</v>
      </c>
      <c r="E34" s="33" t="s">
        <v>93</v>
      </c>
      <c r="F34" s="22">
        <v>0</v>
      </c>
      <c r="G34" s="22"/>
      <c r="H34" s="22"/>
      <c r="I34" s="22">
        <v>0</v>
      </c>
      <c r="J34" s="22"/>
      <c r="K34" s="22"/>
      <c r="L34" s="22">
        <v>0</v>
      </c>
      <c r="M34" s="22"/>
      <c r="N34" s="22"/>
      <c r="O34" s="22">
        <v>0</v>
      </c>
      <c r="P34" s="22"/>
      <c r="Q34" s="22"/>
      <c r="R34" s="22">
        <v>1200</v>
      </c>
      <c r="S34" s="22"/>
      <c r="T34" s="22"/>
      <c r="U34" s="22">
        <v>0</v>
      </c>
      <c r="V34" s="22"/>
      <c r="W34" s="22"/>
      <c r="X34" s="22">
        <v>0</v>
      </c>
      <c r="Y34" s="22"/>
      <c r="Z34" s="22"/>
      <c r="AA34" s="22">
        <v>0</v>
      </c>
      <c r="AB34" s="22"/>
      <c r="AC34" s="22"/>
      <c r="AD34" s="22">
        <v>0</v>
      </c>
      <c r="AE34" s="22"/>
      <c r="AF34" s="22"/>
      <c r="AG34" s="22">
        <v>0</v>
      </c>
      <c r="AH34" s="22"/>
      <c r="AI34" s="22"/>
      <c r="AJ34" s="22">
        <v>0</v>
      </c>
      <c r="AK34" s="22"/>
      <c r="AL34" s="22"/>
      <c r="AM34" s="22">
        <v>0</v>
      </c>
      <c r="AN34" s="20"/>
      <c r="AO34" s="20"/>
      <c r="AP34" s="22">
        <f t="shared" si="12"/>
        <v>1200</v>
      </c>
      <c r="AQ34" s="20"/>
      <c r="AR34" s="20"/>
      <c r="AS34" s="24">
        <f t="shared" si="11"/>
        <v>1.8270226925536218E-2</v>
      </c>
    </row>
    <row r="35" spans="2:45" ht="15" outlineLevel="1" collapsed="1" thickBot="1" x14ac:dyDescent="0.35">
      <c r="B35" s="31"/>
      <c r="C35" s="31"/>
      <c r="D35" s="31"/>
      <c r="E35" s="3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2:45" ht="15" outlineLevel="1" thickBot="1" x14ac:dyDescent="0.35">
      <c r="B36" s="34" t="s">
        <v>94</v>
      </c>
      <c r="C36" s="35"/>
      <c r="D36" s="35"/>
      <c r="E36" s="36" t="s">
        <v>95</v>
      </c>
      <c r="F36" s="6">
        <f>SUM(F37:F39)</f>
        <v>550</v>
      </c>
      <c r="G36" s="6">
        <f t="shared" ref="G36:AM36" si="13">SUM(G37:G39)</f>
        <v>0</v>
      </c>
      <c r="H36" s="6">
        <f t="shared" si="13"/>
        <v>0</v>
      </c>
      <c r="I36" s="6">
        <f t="shared" si="13"/>
        <v>550</v>
      </c>
      <c r="J36" s="6">
        <f t="shared" si="13"/>
        <v>0</v>
      </c>
      <c r="K36" s="6">
        <f t="shared" si="13"/>
        <v>0</v>
      </c>
      <c r="L36" s="6">
        <f t="shared" si="13"/>
        <v>550</v>
      </c>
      <c r="M36" s="6">
        <f t="shared" si="13"/>
        <v>0</v>
      </c>
      <c r="N36" s="6">
        <f t="shared" si="13"/>
        <v>0</v>
      </c>
      <c r="O36" s="6">
        <f t="shared" si="13"/>
        <v>550</v>
      </c>
      <c r="P36" s="6">
        <f t="shared" si="13"/>
        <v>0</v>
      </c>
      <c r="Q36" s="6">
        <f t="shared" si="13"/>
        <v>0</v>
      </c>
      <c r="R36" s="6">
        <f t="shared" si="13"/>
        <v>750</v>
      </c>
      <c r="S36" s="6">
        <f t="shared" si="13"/>
        <v>0</v>
      </c>
      <c r="T36" s="6">
        <f t="shared" si="13"/>
        <v>0</v>
      </c>
      <c r="U36" s="6">
        <f t="shared" si="13"/>
        <v>750</v>
      </c>
      <c r="V36" s="6">
        <f t="shared" si="13"/>
        <v>0</v>
      </c>
      <c r="W36" s="6">
        <f t="shared" si="13"/>
        <v>0</v>
      </c>
      <c r="X36" s="6">
        <f t="shared" si="13"/>
        <v>550</v>
      </c>
      <c r="Y36" s="6">
        <f t="shared" si="13"/>
        <v>0</v>
      </c>
      <c r="Z36" s="6">
        <f t="shared" si="13"/>
        <v>0</v>
      </c>
      <c r="AA36" s="6">
        <f t="shared" si="13"/>
        <v>550</v>
      </c>
      <c r="AB36" s="6">
        <f t="shared" si="13"/>
        <v>0</v>
      </c>
      <c r="AC36" s="6">
        <f t="shared" si="13"/>
        <v>0</v>
      </c>
      <c r="AD36" s="6">
        <f t="shared" si="13"/>
        <v>550</v>
      </c>
      <c r="AE36" s="6">
        <f t="shared" si="13"/>
        <v>0</v>
      </c>
      <c r="AF36" s="6">
        <f t="shared" si="13"/>
        <v>0</v>
      </c>
      <c r="AG36" s="6">
        <f t="shared" si="13"/>
        <v>550</v>
      </c>
      <c r="AH36" s="6">
        <f t="shared" si="13"/>
        <v>0</v>
      </c>
      <c r="AI36" s="6">
        <f t="shared" si="13"/>
        <v>0</v>
      </c>
      <c r="AJ36" s="6">
        <f t="shared" si="13"/>
        <v>550</v>
      </c>
      <c r="AK36" s="6">
        <f t="shared" si="13"/>
        <v>0</v>
      </c>
      <c r="AL36" s="6">
        <f t="shared" si="13"/>
        <v>0</v>
      </c>
      <c r="AM36" s="6">
        <f t="shared" si="13"/>
        <v>550</v>
      </c>
      <c r="AN36" s="7"/>
      <c r="AO36" s="7"/>
      <c r="AP36" s="28">
        <f>SUM(F36,I36,L36,O36,R36,U36,X36,AA36,AD36,AG36,AJ36,AM36)</f>
        <v>7000</v>
      </c>
      <c r="AQ36" s="7"/>
      <c r="AR36" s="7"/>
      <c r="AS36" s="29">
        <f>AP36/$AP$4</f>
        <v>0.1065763237322946</v>
      </c>
    </row>
    <row r="37" spans="2:45" hidden="1" outlineLevel="2" x14ac:dyDescent="0.3">
      <c r="B37" s="30" t="s">
        <v>96</v>
      </c>
      <c r="C37" s="31"/>
      <c r="D37" s="31" t="s">
        <v>97</v>
      </c>
      <c r="E37" s="31" t="s">
        <v>98</v>
      </c>
      <c r="F37" s="2">
        <v>300</v>
      </c>
      <c r="G37" s="2"/>
      <c r="H37" s="2"/>
      <c r="I37" s="2">
        <v>300</v>
      </c>
      <c r="J37" s="2"/>
      <c r="K37" s="2"/>
      <c r="L37" s="2">
        <v>300</v>
      </c>
      <c r="M37" s="2"/>
      <c r="N37" s="2"/>
      <c r="O37" s="2">
        <v>300</v>
      </c>
      <c r="P37" s="2"/>
      <c r="Q37" s="2"/>
      <c r="R37" s="2">
        <v>500</v>
      </c>
      <c r="S37" s="2"/>
      <c r="T37" s="2"/>
      <c r="U37" s="2">
        <v>500</v>
      </c>
      <c r="V37" s="2"/>
      <c r="W37" s="2"/>
      <c r="X37" s="2">
        <v>300</v>
      </c>
      <c r="Y37" s="2"/>
      <c r="Z37" s="2"/>
      <c r="AA37" s="2">
        <v>300</v>
      </c>
      <c r="AB37" s="2"/>
      <c r="AC37" s="2"/>
      <c r="AD37" s="2">
        <v>300</v>
      </c>
      <c r="AE37" s="2"/>
      <c r="AF37" s="2"/>
      <c r="AG37" s="2">
        <v>300</v>
      </c>
      <c r="AH37" s="2"/>
      <c r="AI37" s="2"/>
      <c r="AJ37" s="2">
        <v>300</v>
      </c>
      <c r="AK37" s="2"/>
      <c r="AL37" s="2"/>
      <c r="AM37" s="2">
        <v>300</v>
      </c>
      <c r="AP37" s="2">
        <f>SUM(F37,I37,L37,O37,R37,U37,X37,AA37,AD37,AG37,AJ37,AM37)</f>
        <v>4000</v>
      </c>
      <c r="AS37" s="18">
        <f t="shared" ref="AS37:AS39" si="14">AP37/$AP$4</f>
        <v>6.0900756418454056E-2</v>
      </c>
    </row>
    <row r="38" spans="2:45" hidden="1" outlineLevel="2" x14ac:dyDescent="0.3">
      <c r="B38" s="30" t="s">
        <v>99</v>
      </c>
      <c r="C38" s="31"/>
      <c r="D38" s="31" t="s">
        <v>97</v>
      </c>
      <c r="E38" s="31" t="s">
        <v>100</v>
      </c>
      <c r="F38" s="2">
        <v>200</v>
      </c>
      <c r="G38" s="2"/>
      <c r="H38" s="2"/>
      <c r="I38" s="2">
        <v>200</v>
      </c>
      <c r="J38" s="2"/>
      <c r="K38" s="2"/>
      <c r="L38" s="2">
        <v>200</v>
      </c>
      <c r="M38" s="2"/>
      <c r="N38" s="2"/>
      <c r="O38" s="2">
        <v>200</v>
      </c>
      <c r="P38" s="2"/>
      <c r="Q38" s="2"/>
      <c r="R38" s="2">
        <v>200</v>
      </c>
      <c r="S38" s="2"/>
      <c r="T38" s="2"/>
      <c r="U38" s="2">
        <v>200</v>
      </c>
      <c r="V38" s="2"/>
      <c r="W38" s="2"/>
      <c r="X38" s="2">
        <v>200</v>
      </c>
      <c r="Y38" s="2"/>
      <c r="Z38" s="2"/>
      <c r="AA38" s="2">
        <v>200</v>
      </c>
      <c r="AB38" s="2"/>
      <c r="AC38" s="2"/>
      <c r="AD38" s="2">
        <v>200</v>
      </c>
      <c r="AE38" s="2"/>
      <c r="AF38" s="2"/>
      <c r="AG38" s="2">
        <v>200</v>
      </c>
      <c r="AH38" s="2"/>
      <c r="AI38" s="2"/>
      <c r="AJ38" s="2">
        <v>200</v>
      </c>
      <c r="AK38" s="2"/>
      <c r="AL38" s="2"/>
      <c r="AM38" s="2">
        <v>200</v>
      </c>
      <c r="AP38" s="2">
        <f>SUM(F38,I38,L38,O38,R38,U38,X38,AA38,AD38,AG38,AJ38,AM38)</f>
        <v>2400</v>
      </c>
      <c r="AS38" s="18">
        <f t="shared" si="14"/>
        <v>3.6540453851072435E-2</v>
      </c>
    </row>
    <row r="39" spans="2:45" ht="15" hidden="1" outlineLevel="2" thickBot="1" x14ac:dyDescent="0.35">
      <c r="B39" s="32" t="s">
        <v>101</v>
      </c>
      <c r="C39" s="33"/>
      <c r="D39" s="33" t="s">
        <v>97</v>
      </c>
      <c r="E39" s="33" t="s">
        <v>102</v>
      </c>
      <c r="F39" s="22">
        <v>50</v>
      </c>
      <c r="G39" s="22"/>
      <c r="H39" s="22"/>
      <c r="I39" s="22">
        <v>50</v>
      </c>
      <c r="J39" s="22"/>
      <c r="K39" s="22"/>
      <c r="L39" s="22">
        <v>50</v>
      </c>
      <c r="M39" s="22"/>
      <c r="N39" s="22"/>
      <c r="O39" s="22">
        <v>50</v>
      </c>
      <c r="P39" s="22"/>
      <c r="Q39" s="22"/>
      <c r="R39" s="22">
        <v>50</v>
      </c>
      <c r="S39" s="22"/>
      <c r="T39" s="22"/>
      <c r="U39" s="22">
        <v>50</v>
      </c>
      <c r="V39" s="22"/>
      <c r="W39" s="22"/>
      <c r="X39" s="22">
        <v>50</v>
      </c>
      <c r="Y39" s="22"/>
      <c r="Z39" s="22"/>
      <c r="AA39" s="22">
        <v>50</v>
      </c>
      <c r="AB39" s="22"/>
      <c r="AC39" s="22"/>
      <c r="AD39" s="22">
        <v>50</v>
      </c>
      <c r="AE39" s="22"/>
      <c r="AF39" s="22"/>
      <c r="AG39" s="22">
        <v>50</v>
      </c>
      <c r="AH39" s="22"/>
      <c r="AI39" s="22"/>
      <c r="AJ39" s="22">
        <v>50</v>
      </c>
      <c r="AK39" s="22"/>
      <c r="AL39" s="22"/>
      <c r="AM39" s="22">
        <v>50</v>
      </c>
      <c r="AN39" s="20"/>
      <c r="AO39" s="20"/>
      <c r="AP39" s="22">
        <f>SUM(F39,I39,L39,O39,R39,U39,X39,AA39,AD39,AG39,AJ39,AM39)</f>
        <v>600</v>
      </c>
      <c r="AQ39" s="20"/>
      <c r="AR39" s="20"/>
      <c r="AS39" s="24">
        <f t="shared" si="14"/>
        <v>9.1351134627681088E-3</v>
      </c>
    </row>
    <row r="40" spans="2:45" ht="15" outlineLevel="1" collapsed="1" thickBot="1" x14ac:dyDescent="0.35">
      <c r="B40" s="31"/>
      <c r="C40" s="31"/>
      <c r="D40" s="31"/>
      <c r="E40" s="3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2:45" ht="15" outlineLevel="1" thickBot="1" x14ac:dyDescent="0.35">
      <c r="B41" s="34" t="s">
        <v>103</v>
      </c>
      <c r="C41" s="35"/>
      <c r="D41" s="35"/>
      <c r="E41" s="36" t="s">
        <v>104</v>
      </c>
      <c r="F41" s="6">
        <f>SUM(F42:F45)</f>
        <v>552.43544999999995</v>
      </c>
      <c r="G41" s="6">
        <f t="shared" ref="G41:AM41" si="15">SUM(G42:G45)</f>
        <v>466.73025000000001</v>
      </c>
      <c r="H41" s="6">
        <f t="shared" si="15"/>
        <v>466.73025000000001</v>
      </c>
      <c r="I41" s="6">
        <f t="shared" si="15"/>
        <v>375.80391056249999</v>
      </c>
      <c r="J41" s="6">
        <f t="shared" si="15"/>
        <v>466.73025000000001</v>
      </c>
      <c r="K41" s="6">
        <f t="shared" si="15"/>
        <v>466.73025000000001</v>
      </c>
      <c r="L41" s="6">
        <f t="shared" si="15"/>
        <v>103.04329500281247</v>
      </c>
      <c r="M41" s="6">
        <f t="shared" si="15"/>
        <v>552.00745965750002</v>
      </c>
      <c r="N41" s="6">
        <f t="shared" si="15"/>
        <v>552.00745965750002</v>
      </c>
      <c r="O41" s="6">
        <f t="shared" si="15"/>
        <v>249.875548860484</v>
      </c>
      <c r="P41" s="6">
        <f t="shared" si="15"/>
        <v>552.00745965750002</v>
      </c>
      <c r="Q41" s="6">
        <f t="shared" si="15"/>
        <v>552.00745965750002</v>
      </c>
      <c r="R41" s="6">
        <f t="shared" si="15"/>
        <v>95.568722548392202</v>
      </c>
      <c r="S41" s="6">
        <f t="shared" si="15"/>
        <v>552.00745965750002</v>
      </c>
      <c r="T41" s="6">
        <f t="shared" si="15"/>
        <v>552.00745965750002</v>
      </c>
      <c r="U41" s="6">
        <f t="shared" si="15"/>
        <v>95.32980074202122</v>
      </c>
      <c r="V41" s="6">
        <f t="shared" si="15"/>
        <v>552.00745965750002</v>
      </c>
      <c r="W41" s="6">
        <f t="shared" si="15"/>
        <v>552.00745965750002</v>
      </c>
      <c r="X41" s="6">
        <f t="shared" si="15"/>
        <v>262.75284019379603</v>
      </c>
      <c r="Y41" s="6">
        <f t="shared" si="15"/>
        <v>552.00745965750002</v>
      </c>
      <c r="Z41" s="6">
        <f t="shared" si="15"/>
        <v>552.00745965750002</v>
      </c>
      <c r="AA41" s="6">
        <f t="shared" si="15"/>
        <v>278.12857309534837</v>
      </c>
      <c r="AB41" s="6">
        <f t="shared" si="15"/>
        <v>552.00745965750002</v>
      </c>
      <c r="AC41" s="6">
        <f t="shared" si="15"/>
        <v>552.00745965750002</v>
      </c>
      <c r="AD41" s="6">
        <f t="shared" si="15"/>
        <v>72.60851318069183</v>
      </c>
      <c r="AE41" s="6">
        <f t="shared" si="15"/>
        <v>552.00745965750002</v>
      </c>
      <c r="AF41" s="6">
        <f t="shared" si="15"/>
        <v>552.00745965750002</v>
      </c>
      <c r="AG41" s="6">
        <f t="shared" si="15"/>
        <v>377.60521440191576</v>
      </c>
      <c r="AH41" s="6">
        <f t="shared" si="15"/>
        <v>552.00745965750002</v>
      </c>
      <c r="AI41" s="6">
        <f t="shared" si="15"/>
        <v>552.00745965750002</v>
      </c>
      <c r="AJ41" s="6">
        <f t="shared" si="15"/>
        <v>100.7241644360314</v>
      </c>
      <c r="AK41" s="6">
        <f t="shared" si="15"/>
        <v>552.00745965750002</v>
      </c>
      <c r="AL41" s="6">
        <f t="shared" si="15"/>
        <v>552.00745965750002</v>
      </c>
      <c r="AM41" s="6">
        <f t="shared" si="15"/>
        <v>106.60929521044102</v>
      </c>
      <c r="AN41" s="7"/>
      <c r="AO41" s="7"/>
      <c r="AP41" s="28">
        <f>SUM(F41,I41,L41,O41,R41,U41,X41,AA41,AD41,AG41,AJ41,AM41)</f>
        <v>2670.4853282344347</v>
      </c>
      <c r="AQ41" s="7"/>
      <c r="AR41" s="7"/>
      <c r="AS41" s="29">
        <f>AP41/$AP$4</f>
        <v>4.0658644123465162E-2</v>
      </c>
    </row>
    <row r="42" spans="2:45" hidden="1" outlineLevel="2" x14ac:dyDescent="0.3">
      <c r="B42" s="30" t="s">
        <v>105</v>
      </c>
      <c r="C42" s="31"/>
      <c r="D42" s="31" t="s">
        <v>106</v>
      </c>
      <c r="E42" s="31" t="s">
        <v>107</v>
      </c>
      <c r="F42" s="2">
        <f>SUM('VET &amp; MED Costs'!$E$41:$H$41)</f>
        <v>0</v>
      </c>
      <c r="G42" s="2">
        <f>SUM('VET &amp; MED Costs'!$E$41:$H$41)</f>
        <v>0</v>
      </c>
      <c r="H42" s="2">
        <f>SUM('VET &amp; MED Costs'!$E$41:$H$41)</f>
        <v>0</v>
      </c>
      <c r="I42" s="2">
        <f>SUM('VET &amp; MED Costs'!$E$42:$H$42)</f>
        <v>272.50236168749996</v>
      </c>
      <c r="J42" s="2">
        <f>SUM('VET &amp; MED Costs'!$E$41:$H$41)</f>
        <v>0</v>
      </c>
      <c r="K42" s="2">
        <f>SUM('VET &amp; MED Costs'!$E$41:$H$41)</f>
        <v>0</v>
      </c>
      <c r="L42" s="2">
        <f>SUM('VET &amp; MED Costs'!$E$43:$H$43)</f>
        <v>0</v>
      </c>
      <c r="M42" s="2">
        <f>SUM('VET &amp; MED Costs'!$E$41:$H$41)</f>
        <v>0</v>
      </c>
      <c r="N42" s="2">
        <f>SUM('VET &amp; MED Costs'!$E$41:$H$41)</f>
        <v>0</v>
      </c>
      <c r="O42" s="2">
        <f>SUM('VET &amp; MED Costs'!$E$44:$H$44)</f>
        <v>147.08986209517852</v>
      </c>
      <c r="P42" s="2">
        <f>SUM('VET &amp; MED Costs'!$E$41:$H$41)</f>
        <v>0</v>
      </c>
      <c r="Q42" s="2">
        <f>SUM('VET &amp; MED Costs'!$E$41:$H$41)</f>
        <v>0</v>
      </c>
      <c r="R42" s="2">
        <f>SUM('VET &amp; MED Costs'!$E$45:$H$45)</f>
        <v>0</v>
      </c>
      <c r="S42" s="2">
        <f>SUM('VET &amp; MED Costs'!$E$41:$H$41)</f>
        <v>0</v>
      </c>
      <c r="T42" s="2">
        <f>SUM('VET &amp; MED Costs'!$E$41:$H$41)</f>
        <v>0</v>
      </c>
      <c r="U42" s="2">
        <f>SUM('VET &amp; MED Costs'!$E$46:$H$46)</f>
        <v>0</v>
      </c>
      <c r="V42" s="2">
        <f>SUM('VET &amp; MED Costs'!$E$41:$H$41)</f>
        <v>0</v>
      </c>
      <c r="W42" s="2">
        <f>SUM('VET &amp; MED Costs'!$E$41:$H$41)</f>
        <v>0</v>
      </c>
      <c r="X42" s="2">
        <f>SUM('VET &amp; MED Costs'!$E$47:$H$47)</f>
        <v>167.66136395362986</v>
      </c>
      <c r="Y42" s="2">
        <f>SUM('VET &amp; MED Costs'!$E$41:$H$41)</f>
        <v>0</v>
      </c>
      <c r="Z42" s="2">
        <f>SUM('VET &amp; MED Costs'!$E$41:$H$41)</f>
        <v>0</v>
      </c>
      <c r="AA42" s="2">
        <f>SUM('VET &amp; MED Costs'!$E$48:$H$48)</f>
        <v>0</v>
      </c>
      <c r="AB42" s="2">
        <f>SUM('VET &amp; MED Costs'!$E$41:$H$41)</f>
        <v>0</v>
      </c>
      <c r="AC42" s="2">
        <f>SUM('VET &amp; MED Costs'!$E$41:$H$41)</f>
        <v>0</v>
      </c>
      <c r="AD42" s="2">
        <f>SUM('VET &amp; MED Costs'!$E$49:$H$49)</f>
        <v>0</v>
      </c>
      <c r="AE42" s="2">
        <f>SUM('VET &amp; MED Costs'!$E$41:$H$41)</f>
        <v>0</v>
      </c>
      <c r="AF42" s="2">
        <f>SUM('VET &amp; MED Costs'!$E$41:$H$41)</f>
        <v>0</v>
      </c>
      <c r="AG42" s="2">
        <f>SUM('VET &amp; MED Costs'!$E$50:$H$50)</f>
        <v>202.56693681333149</v>
      </c>
      <c r="AH42" s="2">
        <f>SUM('VET &amp; MED Costs'!$E$41:$H$41)</f>
        <v>0</v>
      </c>
      <c r="AI42" s="2">
        <f>SUM('VET &amp; MED Costs'!$E$41:$H$41)</f>
        <v>0</v>
      </c>
      <c r="AJ42" s="2">
        <f>SUM('VET &amp; MED Costs'!$E$51:$H$51)</f>
        <v>0</v>
      </c>
      <c r="AK42" s="2">
        <f>SUM('VET &amp; MED Costs'!$E$41:$H$41)</f>
        <v>0</v>
      </c>
      <c r="AL42" s="2">
        <f>SUM('VET &amp; MED Costs'!$E$41:$H$41)</f>
        <v>0</v>
      </c>
      <c r="AM42" s="2">
        <f>SUM('VET &amp; MED Costs'!$E$52:$H$52)</f>
        <v>0</v>
      </c>
      <c r="AP42" s="2">
        <f>SUM(F42,I42,L42,O42,R42,U42,X42,AA42,AD42,AG42,AJ42,AM42)</f>
        <v>789.82052454963991</v>
      </c>
      <c r="AS42" s="18">
        <f t="shared" ref="AS42:AS45" si="16">AP42/$AP$4</f>
        <v>1.2025166844973309E-2</v>
      </c>
    </row>
    <row r="43" spans="2:45" hidden="1" outlineLevel="2" x14ac:dyDescent="0.3">
      <c r="B43" s="30" t="s">
        <v>108</v>
      </c>
      <c r="C43" s="31"/>
      <c r="D43" s="31" t="s">
        <v>106</v>
      </c>
      <c r="E43" s="31" t="s">
        <v>109</v>
      </c>
      <c r="F43" s="2">
        <f>'VET &amp; MED Costs'!C41</f>
        <v>85.705199999999991</v>
      </c>
      <c r="G43" s="2"/>
      <c r="H43" s="2"/>
      <c r="I43" s="2">
        <f>'VET &amp; MED Costs'!C42</f>
        <v>85.490937000000002</v>
      </c>
      <c r="J43" s="2"/>
      <c r="K43" s="2"/>
      <c r="L43" s="2">
        <f>'VET &amp; MED Costs'!$C$43</f>
        <v>85.277209657499981</v>
      </c>
      <c r="M43" s="2">
        <f>'VET &amp; MED Costs'!$C$43</f>
        <v>85.277209657499981</v>
      </c>
      <c r="N43" s="2">
        <f>'VET &amp; MED Costs'!$C$43</f>
        <v>85.277209657499981</v>
      </c>
      <c r="O43" s="2">
        <f>'VET &amp; MED Costs'!$C$44</f>
        <v>85.064016633356246</v>
      </c>
      <c r="P43" s="2">
        <f>'VET &amp; MED Costs'!$C$43</f>
        <v>85.277209657499981</v>
      </c>
      <c r="Q43" s="2">
        <f>'VET &amp; MED Costs'!$C$43</f>
        <v>85.277209657499981</v>
      </c>
      <c r="R43" s="2">
        <f>'VET &amp; MED Costs'!$C$45</f>
        <v>79.09135659177285</v>
      </c>
      <c r="S43" s="2">
        <f>'VET &amp; MED Costs'!$C$43</f>
        <v>85.277209657499981</v>
      </c>
      <c r="T43" s="2">
        <f>'VET &amp; MED Costs'!$C$43</f>
        <v>85.277209657499981</v>
      </c>
      <c r="U43" s="2">
        <f>'VET &amp; MED Costs'!$C$46</f>
        <v>78.893628200293421</v>
      </c>
      <c r="V43" s="2">
        <f>'VET &amp; MED Costs'!$C$43</f>
        <v>85.277209657499981</v>
      </c>
      <c r="W43" s="2">
        <f>'VET &amp; MED Costs'!$C$43</f>
        <v>85.277209657499981</v>
      </c>
      <c r="X43" s="2">
        <f>'VET &amp; MED Costs'!$C$47</f>
        <v>78.696394129792679</v>
      </c>
      <c r="Y43" s="2">
        <f>'VET &amp; MED Costs'!$C$43</f>
        <v>85.277209657499981</v>
      </c>
      <c r="Z43" s="2">
        <f>'VET &amp; MED Costs'!$C$43</f>
        <v>85.277209657499981</v>
      </c>
      <c r="AA43" s="2">
        <f>'VET &amp; MED Costs'!$C$48</f>
        <v>67.93965314446821</v>
      </c>
      <c r="AB43" s="2">
        <f>'VET &amp; MED Costs'!$C$43</f>
        <v>85.277209657499981</v>
      </c>
      <c r="AC43" s="2">
        <f>'VET &amp; MED Costs'!$C$43</f>
        <v>85.277209657499981</v>
      </c>
      <c r="AD43" s="2">
        <f>'VET &amp; MED Costs'!$C$49</f>
        <v>60.089804011607036</v>
      </c>
      <c r="AE43" s="2">
        <f>'VET &amp; MED Costs'!$C$43</f>
        <v>85.277209657499981</v>
      </c>
      <c r="AF43" s="2">
        <f>'VET &amp; MED Costs'!$C$43</f>
        <v>85.277209657499981</v>
      </c>
      <c r="AG43" s="2">
        <f>'VET &amp; MED Costs'!$C$50</f>
        <v>71.738427379232931</v>
      </c>
      <c r="AH43" s="2">
        <f>'VET &amp; MED Costs'!$C$43</f>
        <v>85.277209657499981</v>
      </c>
      <c r="AI43" s="2">
        <f>'VET &amp; MED Costs'!$C$43</f>
        <v>85.277209657499981</v>
      </c>
      <c r="AJ43" s="2">
        <f>'VET &amp; MED Costs'!$C$51</f>
        <v>83.357929188439783</v>
      </c>
      <c r="AK43" s="2">
        <f>'VET &amp; MED Costs'!$C$43</f>
        <v>85.277209657499981</v>
      </c>
      <c r="AL43" s="2">
        <f>'VET &amp; MED Costs'!$C$43</f>
        <v>85.277209657499981</v>
      </c>
      <c r="AM43" s="2">
        <f>'VET &amp; MED Costs'!$C$52</f>
        <v>88.228382243123605</v>
      </c>
      <c r="AP43" s="2">
        <f>SUM(F43,I43,L43,O43,R43,U43,X43,AA43,AD43,AG43,AJ43,AM43)</f>
        <v>949.5729381795868</v>
      </c>
      <c r="AS43" s="18">
        <f t="shared" si="16"/>
        <v>1.4457427552407687E-2</v>
      </c>
    </row>
    <row r="44" spans="2:45" hidden="1" outlineLevel="2" x14ac:dyDescent="0.3">
      <c r="B44" s="30" t="s">
        <v>110</v>
      </c>
      <c r="C44" s="31"/>
      <c r="D44" s="31" t="s">
        <v>106</v>
      </c>
      <c r="E44" s="31" t="s">
        <v>111</v>
      </c>
      <c r="F44" s="2">
        <f>SUM('VET &amp; MED Costs'!$D$41,'VET &amp; MED Costs'!$I$41,'VET &amp; MED Costs'!$J$41,'VET &amp; MED Costs'!$L$41)</f>
        <v>466.73025000000001</v>
      </c>
      <c r="G44" s="2">
        <f>SUM('VET &amp; MED Costs'!$D$41,'VET &amp; MED Costs'!$I$41,'VET &amp; MED Costs'!$J$41,'VET &amp; MED Costs'!$L$41)</f>
        <v>466.73025000000001</v>
      </c>
      <c r="H44" s="2">
        <f>SUM('VET &amp; MED Costs'!$D$41,'VET &amp; MED Costs'!$I$41,'VET &amp; MED Costs'!$J$41,'VET &amp; MED Costs'!$L$41)</f>
        <v>466.73025000000001</v>
      </c>
      <c r="I44" s="2">
        <f>SUM('VET &amp; MED Costs'!$D$42,'VET &amp; MED Costs'!$I$42,'VET &amp; MED Costs'!$J$42,'VET &amp; MED Costs'!$L$42)</f>
        <v>17.810611875000003</v>
      </c>
      <c r="J44" s="2">
        <f>SUM('VET &amp; MED Costs'!$D$41,'VET &amp; MED Costs'!$I$41,'VET &amp; MED Costs'!$J$41,'VET &amp; MED Costs'!$L$41)</f>
        <v>466.73025000000001</v>
      </c>
      <c r="K44" s="2">
        <f>SUM('VET &amp; MED Costs'!$D$41,'VET &amp; MED Costs'!$I$41,'VET &amp; MED Costs'!$J$41,'VET &amp; MED Costs'!$L$41)</f>
        <v>466.73025000000001</v>
      </c>
      <c r="L44" s="2">
        <f>SUM('VET &amp; MED Costs'!$D$43,'VET &amp; MED Costs'!$I$43,'VET &amp; MED Costs'!$J$43,'VET &amp; MED Costs'!$L$43)</f>
        <v>17.766085345312497</v>
      </c>
      <c r="M44" s="2">
        <f>SUM('VET &amp; MED Costs'!$D$41,'VET &amp; MED Costs'!$I$41,'VET &amp; MED Costs'!$J$41,'VET &amp; MED Costs'!$L$41)</f>
        <v>466.73025000000001</v>
      </c>
      <c r="N44" s="2">
        <f>SUM('VET &amp; MED Costs'!$D$41,'VET &amp; MED Costs'!$I$41,'VET &amp; MED Costs'!$J$41,'VET &amp; MED Costs'!$L$41)</f>
        <v>466.73025000000001</v>
      </c>
      <c r="O44" s="2">
        <f>SUM('VET &amp; MED Costs'!$D$44,'VET &amp; MED Costs'!$I$44,'VET &amp; MED Costs'!$J$44,'VET &amp; MED Costs'!$L$44)</f>
        <v>17.721670131949221</v>
      </c>
      <c r="P44" s="2">
        <f>SUM('VET &amp; MED Costs'!$D$41,'VET &amp; MED Costs'!$I$41,'VET &amp; MED Costs'!$J$41,'VET &amp; MED Costs'!$L$41)</f>
        <v>466.73025000000001</v>
      </c>
      <c r="Q44" s="2">
        <f>SUM('VET &amp; MED Costs'!$D$41,'VET &amp; MED Costs'!$I$41,'VET &amp; MED Costs'!$J$41,'VET &amp; MED Costs'!$L$41)</f>
        <v>466.73025000000001</v>
      </c>
      <c r="R44" s="2">
        <f>SUM('VET &amp; MED Costs'!$D$45,'VET &amp; MED Costs'!$I$45,'VET &amp; MED Costs'!$J$45,'VET &amp; MED Costs'!$L$45)</f>
        <v>16.477365956619344</v>
      </c>
      <c r="S44" s="2">
        <f>SUM('VET &amp; MED Costs'!$D$41,'VET &amp; MED Costs'!$I$41,'VET &amp; MED Costs'!$J$41,'VET &amp; MED Costs'!$L$41)</f>
        <v>466.73025000000001</v>
      </c>
      <c r="T44" s="2">
        <f>SUM('VET &amp; MED Costs'!$D$41,'VET &amp; MED Costs'!$I$41,'VET &amp; MED Costs'!$J$41,'VET &amp; MED Costs'!$L$41)</f>
        <v>466.73025000000001</v>
      </c>
      <c r="U44" s="2">
        <f>SUM('VET &amp; MED Costs'!$D$46,'VET &amp; MED Costs'!$I$46,'VET &amp; MED Costs'!$J$46,'VET &amp; MED Costs'!$L$46)</f>
        <v>16.436172541727796</v>
      </c>
      <c r="V44" s="2">
        <f>SUM('VET &amp; MED Costs'!$D$41,'VET &amp; MED Costs'!$I$41,'VET &amp; MED Costs'!$J$41,'VET &amp; MED Costs'!$L$41)</f>
        <v>466.73025000000001</v>
      </c>
      <c r="W44" s="2">
        <f>SUM('VET &amp; MED Costs'!$D$41,'VET &amp; MED Costs'!$I$41,'VET &amp; MED Costs'!$J$41,'VET &amp; MED Costs'!$L$41)</f>
        <v>466.73025000000001</v>
      </c>
      <c r="X44" s="2">
        <f>SUM('VET &amp; MED Costs'!$D$47,'VET &amp; MED Costs'!$I$47,'VET &amp; MED Costs'!$J$47,'VET &amp; MED Costs'!$L$47)</f>
        <v>16.395082110373476</v>
      </c>
      <c r="Y44" s="2">
        <f>SUM('VET &amp; MED Costs'!$D$41,'VET &amp; MED Costs'!$I$41,'VET &amp; MED Costs'!$J$41,'VET &amp; MED Costs'!$L$41)</f>
        <v>466.73025000000001</v>
      </c>
      <c r="Z44" s="2">
        <f>SUM('VET &amp; MED Costs'!$D$41,'VET &amp; MED Costs'!$I$41,'VET &amp; MED Costs'!$J$41,'VET &amp; MED Costs'!$L$41)</f>
        <v>466.73025000000001</v>
      </c>
      <c r="AA44" s="2">
        <f>SUM('VET &amp; MED Costs'!$D$48,'VET &amp; MED Costs'!$I$48,'VET &amp; MED Costs'!$J$48,'VET &amp; MED Costs'!$L$48)</f>
        <v>14.154094405097545</v>
      </c>
      <c r="AB44" s="2">
        <f>SUM('VET &amp; MED Costs'!$D$41,'VET &amp; MED Costs'!$I$41,'VET &amp; MED Costs'!$J$41,'VET &amp; MED Costs'!$L$41)</f>
        <v>466.73025000000001</v>
      </c>
      <c r="AC44" s="2">
        <f>SUM('VET &amp; MED Costs'!$D$41,'VET &amp; MED Costs'!$I$41,'VET &amp; MED Costs'!$J$41,'VET &amp; MED Costs'!$L$41)</f>
        <v>466.73025000000001</v>
      </c>
      <c r="AD44" s="2">
        <f>SUM('VET &amp; MED Costs'!$D$49,'VET &amp; MED Costs'!$I$49,'VET &amp; MED Costs'!$J$49,'VET &amp; MED Costs'!$L$49)</f>
        <v>12.518709169084801</v>
      </c>
      <c r="AE44" s="2">
        <f>SUM('VET &amp; MED Costs'!$D$41,'VET &amp; MED Costs'!$I$41,'VET &amp; MED Costs'!$J$41,'VET &amp; MED Costs'!$L$41)</f>
        <v>466.73025000000001</v>
      </c>
      <c r="AF44" s="2">
        <f>SUM('VET &amp; MED Costs'!$D$41,'VET &amp; MED Costs'!$I$41,'VET &amp; MED Costs'!$J$41,'VET &amp; MED Costs'!$L$41)</f>
        <v>466.73025000000001</v>
      </c>
      <c r="AG44" s="2">
        <f>SUM('VET &amp; MED Costs'!$D$50,'VET &amp; MED Costs'!$I$50,'VET &amp; MED Costs'!$J$50,'VET &amp; MED Costs'!$L$50)</f>
        <v>103.29985020935132</v>
      </c>
      <c r="AH44" s="2">
        <f>SUM('VET &amp; MED Costs'!$D$41,'VET &amp; MED Costs'!$I$41,'VET &amp; MED Costs'!$J$41,'VET &amp; MED Costs'!$L$41)</f>
        <v>466.73025000000001</v>
      </c>
      <c r="AI44" s="2">
        <f>SUM('VET &amp; MED Costs'!$D$41,'VET &amp; MED Costs'!$I$41,'VET &amp; MED Costs'!$J$41,'VET &amp; MED Costs'!$L$41)</f>
        <v>466.73025000000001</v>
      </c>
      <c r="AJ44" s="2">
        <f>SUM('VET &amp; MED Costs'!$D$51,'VET &amp; MED Costs'!$I$51,'VET &amp; MED Costs'!$J$51,'VET &amp; MED Costs'!$L$51)</f>
        <v>17.366235247591622</v>
      </c>
      <c r="AK44" s="2">
        <f>SUM('VET &amp; MED Costs'!$D$41,'VET &amp; MED Costs'!$I$41,'VET &amp; MED Costs'!$J$41,'VET &amp; MED Costs'!$L$41)</f>
        <v>466.73025000000001</v>
      </c>
      <c r="AL44" s="2">
        <f>SUM('VET &amp; MED Costs'!$D$41,'VET &amp; MED Costs'!$I$41,'VET &amp; MED Costs'!$J$41,'VET &amp; MED Costs'!$L$41)</f>
        <v>466.73025000000001</v>
      </c>
      <c r="AM44" s="2">
        <f>SUM('VET &amp; MED Costs'!$D$52,'VET &amp; MED Costs'!$I$52,'VET &amp; MED Costs'!$J$52,'VET &amp; MED Costs'!$L$52)</f>
        <v>18.380912967317418</v>
      </c>
      <c r="AP44" s="2">
        <f>SUM(F44,L43,L44,O44,R44,U44,X44,AA44,AD44,AG44,AJ44,AM44)</f>
        <v>802.52363774192497</v>
      </c>
      <c r="AS44" s="18">
        <f t="shared" si="16"/>
        <v>1.2218574145543159E-2</v>
      </c>
    </row>
    <row r="45" spans="2:45" ht="15" hidden="1" outlineLevel="2" thickBot="1" x14ac:dyDescent="0.35">
      <c r="B45" s="32" t="s">
        <v>112</v>
      </c>
      <c r="C45" s="33"/>
      <c r="D45" s="33" t="s">
        <v>106</v>
      </c>
      <c r="E45" s="33" t="s">
        <v>113</v>
      </c>
      <c r="F45" s="22">
        <f>'VET &amp; MED Costs'!$K$41</f>
        <v>0</v>
      </c>
      <c r="G45" s="22">
        <f>'VET &amp; MED Costs'!$K$41</f>
        <v>0</v>
      </c>
      <c r="H45" s="22">
        <f>'VET &amp; MED Costs'!$K$41</f>
        <v>0</v>
      </c>
      <c r="I45" s="22">
        <f>'VET &amp; MED Costs'!$K$42</f>
        <v>0</v>
      </c>
      <c r="J45" s="22">
        <f>'VET &amp; MED Costs'!$K$41</f>
        <v>0</v>
      </c>
      <c r="K45" s="22">
        <f>'VET &amp; MED Costs'!$K$41</f>
        <v>0</v>
      </c>
      <c r="L45" s="22">
        <f>'VET &amp; MED Costs'!$K$43</f>
        <v>0</v>
      </c>
      <c r="M45" s="22">
        <f>'VET &amp; MED Costs'!$K$41</f>
        <v>0</v>
      </c>
      <c r="N45" s="22">
        <f>'VET &amp; MED Costs'!$K$41</f>
        <v>0</v>
      </c>
      <c r="O45" s="22">
        <f>'VET &amp; MED Costs'!$K$44</f>
        <v>0</v>
      </c>
      <c r="P45" s="22">
        <f>'VET &amp; MED Costs'!$K$41</f>
        <v>0</v>
      </c>
      <c r="Q45" s="22">
        <f>'VET &amp; MED Costs'!$K$41</f>
        <v>0</v>
      </c>
      <c r="R45" s="22">
        <f>'VET &amp; MED Costs'!$K$45</f>
        <v>0</v>
      </c>
      <c r="S45" s="22">
        <f>'VET &amp; MED Costs'!$K$41</f>
        <v>0</v>
      </c>
      <c r="T45" s="22">
        <f>'VET &amp; MED Costs'!$K$41</f>
        <v>0</v>
      </c>
      <c r="U45" s="22">
        <f>'VET &amp; MED Costs'!$K$46</f>
        <v>0</v>
      </c>
      <c r="V45" s="22">
        <f>'VET &amp; MED Costs'!$K$41</f>
        <v>0</v>
      </c>
      <c r="W45" s="22">
        <f>'VET &amp; MED Costs'!$K$41</f>
        <v>0</v>
      </c>
      <c r="X45" s="22">
        <f>'VET &amp; MED Costs'!$K$47</f>
        <v>0</v>
      </c>
      <c r="Y45" s="22">
        <f>'VET &amp; MED Costs'!$K$41</f>
        <v>0</v>
      </c>
      <c r="Z45" s="22">
        <f>'VET &amp; MED Costs'!$K$41</f>
        <v>0</v>
      </c>
      <c r="AA45" s="22">
        <f>'VET &amp; MED Costs'!$K$48</f>
        <v>196.03482554578261</v>
      </c>
      <c r="AB45" s="22">
        <f>'VET &amp; MED Costs'!$K$41</f>
        <v>0</v>
      </c>
      <c r="AC45" s="22">
        <f>'VET &amp; MED Costs'!$K$41</f>
        <v>0</v>
      </c>
      <c r="AD45" s="22">
        <f>'VET &amp; MED Costs'!$K$49</f>
        <v>0</v>
      </c>
      <c r="AE45" s="22">
        <f>'VET &amp; MED Costs'!$K$41</f>
        <v>0</v>
      </c>
      <c r="AF45" s="22">
        <f>'VET &amp; MED Costs'!$K$41</f>
        <v>0</v>
      </c>
      <c r="AG45" s="22">
        <f>'VET &amp; MED Costs'!$K$50</f>
        <v>0</v>
      </c>
      <c r="AH45" s="22">
        <f>'VET &amp; MED Costs'!$K$41</f>
        <v>0</v>
      </c>
      <c r="AI45" s="22">
        <f>'VET &amp; MED Costs'!$K$41</f>
        <v>0</v>
      </c>
      <c r="AJ45" s="22">
        <f>'VET &amp; MED Costs'!$K$51</f>
        <v>0</v>
      </c>
      <c r="AK45" s="22">
        <f>'VET &amp; MED Costs'!$K$41</f>
        <v>0</v>
      </c>
      <c r="AL45" s="22">
        <f>'VET &amp; MED Costs'!$K$41</f>
        <v>0</v>
      </c>
      <c r="AM45" s="22">
        <f>'VET &amp; MED Costs'!$K$52</f>
        <v>0</v>
      </c>
      <c r="AN45" s="20"/>
      <c r="AO45" s="20"/>
      <c r="AP45" s="22">
        <f>SUM(F45,I45,L45,O45,R45,U45,X45,AA45,AD45,AG45,AJ45,AM45)</f>
        <v>196.03482554578261</v>
      </c>
      <c r="AQ45" s="20"/>
      <c r="AR45" s="20"/>
      <c r="AS45" s="24">
        <f t="shared" si="16"/>
        <v>2.9846672900244605E-3</v>
      </c>
    </row>
    <row r="46" spans="2:45" ht="15" outlineLevel="1" collapsed="1" thickBot="1" x14ac:dyDescent="0.35">
      <c r="B46" s="31"/>
      <c r="C46" s="31"/>
      <c r="D46" s="31"/>
      <c r="E46" s="3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2:45" ht="15" outlineLevel="1" thickBot="1" x14ac:dyDescent="0.35">
      <c r="B47" s="34" t="s">
        <v>114</v>
      </c>
      <c r="C47" s="35"/>
      <c r="D47" s="35"/>
      <c r="E47" s="36" t="s">
        <v>115</v>
      </c>
      <c r="F47" s="6">
        <f>SUM(F48:F50)</f>
        <v>225.11579999999998</v>
      </c>
      <c r="G47" s="6">
        <f t="shared" ref="G47:AM47" si="17">SUM(G48:G50)</f>
        <v>0</v>
      </c>
      <c r="H47" s="6">
        <f t="shared" si="17"/>
        <v>0</v>
      </c>
      <c r="I47" s="6">
        <f t="shared" si="17"/>
        <v>224.55301049999997</v>
      </c>
      <c r="J47" s="6">
        <f t="shared" si="17"/>
        <v>0</v>
      </c>
      <c r="K47" s="6">
        <f t="shared" si="17"/>
        <v>0</v>
      </c>
      <c r="L47" s="6">
        <f t="shared" si="17"/>
        <v>223.99162797374998</v>
      </c>
      <c r="M47" s="6">
        <f t="shared" si="17"/>
        <v>0</v>
      </c>
      <c r="N47" s="6">
        <f t="shared" si="17"/>
        <v>0</v>
      </c>
      <c r="O47" s="6">
        <f t="shared" si="17"/>
        <v>223.43164890381561</v>
      </c>
      <c r="P47" s="6">
        <f t="shared" si="17"/>
        <v>0</v>
      </c>
      <c r="Q47" s="6">
        <f t="shared" si="17"/>
        <v>0</v>
      </c>
      <c r="R47" s="6">
        <f t="shared" si="17"/>
        <v>196.83306978155608</v>
      </c>
      <c r="S47" s="6">
        <f t="shared" si="17"/>
        <v>0</v>
      </c>
      <c r="T47" s="6">
        <f t="shared" si="17"/>
        <v>0</v>
      </c>
      <c r="U47" s="6">
        <f t="shared" si="17"/>
        <v>1914.0147265126939</v>
      </c>
      <c r="V47" s="6">
        <f t="shared" si="17"/>
        <v>0</v>
      </c>
      <c r="W47" s="6">
        <f t="shared" si="17"/>
        <v>0</v>
      </c>
      <c r="X47" s="6">
        <f t="shared" si="17"/>
        <v>731.5536278582199</v>
      </c>
      <c r="Y47" s="6">
        <f t="shared" si="17"/>
        <v>0</v>
      </c>
      <c r="Z47" s="6">
        <f t="shared" si="17"/>
        <v>0</v>
      </c>
      <c r="AA47" s="6">
        <f t="shared" si="17"/>
        <v>649.58974378857431</v>
      </c>
      <c r="AB47" s="6">
        <f t="shared" si="17"/>
        <v>0</v>
      </c>
      <c r="AC47" s="6">
        <f t="shared" si="17"/>
        <v>0</v>
      </c>
      <c r="AD47" s="6">
        <f t="shared" si="17"/>
        <v>1573.1272610695848</v>
      </c>
      <c r="AE47" s="6">
        <f t="shared" si="17"/>
        <v>0</v>
      </c>
      <c r="AF47" s="6">
        <f t="shared" si="17"/>
        <v>0</v>
      </c>
      <c r="AG47" s="6">
        <f t="shared" si="17"/>
        <v>1932.7298371326694</v>
      </c>
      <c r="AH47" s="6">
        <f t="shared" si="17"/>
        <v>0</v>
      </c>
      <c r="AI47" s="6">
        <f t="shared" si="17"/>
        <v>0</v>
      </c>
      <c r="AJ47" s="6">
        <f t="shared" si="17"/>
        <v>2175.9577015994541</v>
      </c>
      <c r="AK47" s="6">
        <f t="shared" si="17"/>
        <v>0</v>
      </c>
      <c r="AL47" s="6">
        <f t="shared" si="17"/>
        <v>0</v>
      </c>
      <c r="AM47" s="6">
        <f t="shared" si="17"/>
        <v>398.86581139078794</v>
      </c>
      <c r="AN47" s="7"/>
      <c r="AO47" s="7"/>
      <c r="AP47" s="28">
        <f>SUM(F47,I47,L47,O47,R47,U47,X47,AA47,AD47,AG47,AJ47,AM47)</f>
        <v>10469.763866511106</v>
      </c>
      <c r="AQ47" s="7"/>
      <c r="AR47" s="7"/>
      <c r="AS47" s="29">
        <f>AP47/$AP$4</f>
        <v>0.15940413474828116</v>
      </c>
    </row>
    <row r="48" spans="2:45" hidden="1" outlineLevel="2" x14ac:dyDescent="0.3">
      <c r="B48" s="30" t="s">
        <v>116</v>
      </c>
      <c r="C48" s="31"/>
      <c r="D48" s="31" t="s">
        <v>117</v>
      </c>
      <c r="E48" s="31" t="s">
        <v>118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P48" s="2">
        <f t="shared" ref="AP48:AP63" si="18">SUM(F48,I48,L48,O48,R48,U48,X48,AA48,AD48,AG48,AJ48,AM48)</f>
        <v>0</v>
      </c>
      <c r="AS48" s="18">
        <f t="shared" ref="AS48:AS50" si="19">AP48/$AP$4</f>
        <v>0</v>
      </c>
    </row>
    <row r="49" spans="2:45" hidden="1" outlineLevel="2" x14ac:dyDescent="0.3">
      <c r="B49" s="30" t="s">
        <v>119</v>
      </c>
      <c r="C49" s="31"/>
      <c r="D49" s="31" t="s">
        <v>117</v>
      </c>
      <c r="E49" s="31" t="s">
        <v>120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>
        <f>'HERD FEED COSTS'!J36</f>
        <v>731.5536278582199</v>
      </c>
      <c r="Y49" s="2"/>
      <c r="Z49" s="2"/>
      <c r="AA49" s="2">
        <f>'HERD FEED COSTS'!J37</f>
        <v>649.58974378857431</v>
      </c>
      <c r="AB49" s="2"/>
      <c r="AC49" s="2"/>
      <c r="AD49" s="2">
        <f>'HERD FEED COSTS'!J38</f>
        <v>1573.1272610695848</v>
      </c>
      <c r="AE49" s="2"/>
      <c r="AF49" s="2"/>
      <c r="AG49" s="2">
        <f>'HERD FEED COSTS'!J39</f>
        <v>1932.7298371326694</v>
      </c>
      <c r="AH49" s="2"/>
      <c r="AI49" s="2"/>
      <c r="AJ49" s="2">
        <f>'HERD FEED COSTS'!J40</f>
        <v>2175.9577015994541</v>
      </c>
      <c r="AK49" s="2"/>
      <c r="AL49" s="2"/>
      <c r="AP49" s="2">
        <f t="shared" si="18"/>
        <v>7062.958171448503</v>
      </c>
      <c r="AS49" s="18">
        <f t="shared" si="19"/>
        <v>0.10753487379827874</v>
      </c>
    </row>
    <row r="50" spans="2:45" hidden="1" outlineLevel="2" x14ac:dyDescent="0.3">
      <c r="B50" s="30" t="s">
        <v>121</v>
      </c>
      <c r="C50" s="31"/>
      <c r="D50" s="31" t="s">
        <v>117</v>
      </c>
      <c r="E50" s="31" t="s">
        <v>122</v>
      </c>
      <c r="F50" s="2">
        <f>'HERD FEED COSTS'!J30</f>
        <v>225.11579999999998</v>
      </c>
      <c r="G50" s="2"/>
      <c r="H50" s="2"/>
      <c r="I50" s="2">
        <f>'HERD FEED COSTS'!J31</f>
        <v>224.55301049999997</v>
      </c>
      <c r="J50" s="2"/>
      <c r="K50" s="2"/>
      <c r="L50" s="2">
        <f>'HERD FEED COSTS'!J32</f>
        <v>223.99162797374998</v>
      </c>
      <c r="M50" s="2"/>
      <c r="N50" s="2"/>
      <c r="O50" s="2">
        <f>'HERD FEED COSTS'!J33</f>
        <v>223.43164890381561</v>
      </c>
      <c r="P50" s="2"/>
      <c r="Q50" s="2"/>
      <c r="R50" s="2">
        <f>'HERD FEED COSTS'!J34</f>
        <v>196.83306978155608</v>
      </c>
      <c r="S50" s="2"/>
      <c r="T50" s="2"/>
      <c r="U50" s="2">
        <f>'HERD FEED COSTS'!J35</f>
        <v>1914.0147265126939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>
        <f>'HERD FEED COSTS'!J41</f>
        <v>398.86581139078794</v>
      </c>
      <c r="AP50" s="2">
        <f t="shared" si="18"/>
        <v>3406.8056950626033</v>
      </c>
      <c r="AS50" s="18">
        <f t="shared" si="19"/>
        <v>5.1869260950002417E-2</v>
      </c>
    </row>
    <row r="51" spans="2:45" ht="15" hidden="1" outlineLevel="2" thickBot="1" x14ac:dyDescent="0.35">
      <c r="B51" s="32" t="s">
        <v>123</v>
      </c>
      <c r="C51" s="33"/>
      <c r="D51" s="33" t="s">
        <v>65</v>
      </c>
      <c r="E51" s="33" t="s">
        <v>124</v>
      </c>
      <c r="F51" s="22">
        <v>0</v>
      </c>
      <c r="G51" s="22"/>
      <c r="H51" s="22"/>
      <c r="I51" s="22">
        <v>0</v>
      </c>
      <c r="J51" s="22"/>
      <c r="K51" s="22"/>
      <c r="L51" s="22">
        <v>0</v>
      </c>
      <c r="M51" s="22"/>
      <c r="N51" s="22"/>
      <c r="O51" s="22">
        <f>1.5*106</f>
        <v>159</v>
      </c>
      <c r="P51" s="22"/>
      <c r="Q51" s="22"/>
      <c r="R51" s="22">
        <f t="shared" ref="R51:AM51" si="20">1.5*106</f>
        <v>159</v>
      </c>
      <c r="S51" s="22"/>
      <c r="T51" s="22"/>
      <c r="U51" s="22">
        <f t="shared" si="20"/>
        <v>159</v>
      </c>
      <c r="V51" s="22"/>
      <c r="W51" s="22"/>
      <c r="X51" s="22">
        <f t="shared" si="20"/>
        <v>159</v>
      </c>
      <c r="Y51" s="22"/>
      <c r="Z51" s="22"/>
      <c r="AA51" s="22">
        <f t="shared" si="20"/>
        <v>159</v>
      </c>
      <c r="AB51" s="22"/>
      <c r="AC51" s="22"/>
      <c r="AD51" s="22">
        <f t="shared" si="20"/>
        <v>159</v>
      </c>
      <c r="AE51" s="22"/>
      <c r="AF51" s="22"/>
      <c r="AG51" s="22">
        <f t="shared" si="20"/>
        <v>159</v>
      </c>
      <c r="AH51" s="22"/>
      <c r="AI51" s="22"/>
      <c r="AJ51" s="22">
        <f t="shared" si="20"/>
        <v>159</v>
      </c>
      <c r="AK51" s="22"/>
      <c r="AL51" s="22"/>
      <c r="AM51" s="22">
        <f t="shared" si="20"/>
        <v>159</v>
      </c>
      <c r="AN51" s="20"/>
      <c r="AO51" s="20"/>
      <c r="AP51" s="22">
        <f>SUM(F51,I51,L51,O51,R51,U51,X51,AA51,AD51,AG51,AJ51,AM51)</f>
        <v>1431</v>
      </c>
      <c r="AQ51" s="20"/>
      <c r="AR51" s="20"/>
      <c r="AS51" s="24">
        <f>AP51/$AP$4</f>
        <v>2.178724560870194E-2</v>
      </c>
    </row>
    <row r="52" spans="2:45" ht="15" outlineLevel="1" collapsed="1" thickBot="1" x14ac:dyDescent="0.35">
      <c r="B52" s="31"/>
      <c r="C52" s="31"/>
      <c r="D52" s="31"/>
      <c r="E52" s="3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2:45" ht="15" outlineLevel="1" thickBot="1" x14ac:dyDescent="0.35">
      <c r="B53" s="34" t="s">
        <v>125</v>
      </c>
      <c r="C53" s="35"/>
      <c r="D53" s="35"/>
      <c r="E53" s="36" t="s">
        <v>126</v>
      </c>
      <c r="F53" s="6">
        <f>SUM(F54:F63)</f>
        <v>1727.12</v>
      </c>
      <c r="G53" s="6">
        <f t="shared" ref="G53:AM53" si="21">SUM(G54:G63)</f>
        <v>0</v>
      </c>
      <c r="H53" s="6">
        <f t="shared" si="21"/>
        <v>0</v>
      </c>
      <c r="I53" s="6">
        <f t="shared" si="21"/>
        <v>863.88</v>
      </c>
      <c r="J53" s="6">
        <f t="shared" si="21"/>
        <v>0</v>
      </c>
      <c r="K53" s="6">
        <f t="shared" si="21"/>
        <v>0</v>
      </c>
      <c r="L53" s="6">
        <f t="shared" si="21"/>
        <v>927.12</v>
      </c>
      <c r="M53" s="6">
        <f t="shared" si="21"/>
        <v>0</v>
      </c>
      <c r="N53" s="6">
        <f t="shared" si="21"/>
        <v>0</v>
      </c>
      <c r="O53" s="6">
        <f t="shared" si="21"/>
        <v>895.5</v>
      </c>
      <c r="P53" s="6">
        <f t="shared" si="21"/>
        <v>0</v>
      </c>
      <c r="Q53" s="6">
        <f t="shared" si="21"/>
        <v>0</v>
      </c>
      <c r="R53" s="6">
        <f t="shared" si="21"/>
        <v>927.12</v>
      </c>
      <c r="S53" s="6">
        <f t="shared" si="21"/>
        <v>0</v>
      </c>
      <c r="T53" s="6">
        <f t="shared" si="21"/>
        <v>0</v>
      </c>
      <c r="U53" s="6">
        <f t="shared" si="21"/>
        <v>895.5</v>
      </c>
      <c r="V53" s="6">
        <f t="shared" si="21"/>
        <v>0</v>
      </c>
      <c r="W53" s="6">
        <f t="shared" si="21"/>
        <v>0</v>
      </c>
      <c r="X53" s="6">
        <f t="shared" si="21"/>
        <v>927.12</v>
      </c>
      <c r="Y53" s="6">
        <f t="shared" si="21"/>
        <v>0</v>
      </c>
      <c r="Z53" s="6">
        <f t="shared" si="21"/>
        <v>0</v>
      </c>
      <c r="AA53" s="6">
        <f t="shared" si="21"/>
        <v>927.12</v>
      </c>
      <c r="AB53" s="6">
        <f t="shared" si="21"/>
        <v>0</v>
      </c>
      <c r="AC53" s="6">
        <f t="shared" si="21"/>
        <v>0</v>
      </c>
      <c r="AD53" s="6">
        <f t="shared" si="21"/>
        <v>1695.5</v>
      </c>
      <c r="AE53" s="6">
        <f t="shared" si="21"/>
        <v>0</v>
      </c>
      <c r="AF53" s="6">
        <f t="shared" si="21"/>
        <v>0</v>
      </c>
      <c r="AG53" s="6">
        <f t="shared" si="21"/>
        <v>927.12</v>
      </c>
      <c r="AH53" s="6">
        <f t="shared" si="21"/>
        <v>0</v>
      </c>
      <c r="AI53" s="6">
        <f t="shared" si="21"/>
        <v>0</v>
      </c>
      <c r="AJ53" s="6">
        <f t="shared" si="21"/>
        <v>895.5</v>
      </c>
      <c r="AK53" s="6">
        <f t="shared" si="21"/>
        <v>0</v>
      </c>
      <c r="AL53" s="6">
        <f t="shared" si="21"/>
        <v>0</v>
      </c>
      <c r="AM53" s="6">
        <f t="shared" si="21"/>
        <v>1432.02</v>
      </c>
      <c r="AN53" s="7"/>
      <c r="AO53" s="7"/>
      <c r="AP53" s="28">
        <f>SUM(F53,I53,L53,O53,R53,U53,X53,AA53,AD53,AG53,AJ53,AM53)</f>
        <v>13040.62</v>
      </c>
      <c r="AQ53" s="7"/>
      <c r="AR53" s="7"/>
      <c r="AS53" s="29">
        <f>AP53/$AP$4</f>
        <v>0.19854590554140511</v>
      </c>
    </row>
    <row r="54" spans="2:45" hidden="1" outlineLevel="2" x14ac:dyDescent="0.3">
      <c r="B54" s="30" t="s">
        <v>127</v>
      </c>
      <c r="C54" s="31"/>
      <c r="D54" s="31" t="s">
        <v>128</v>
      </c>
      <c r="E54" s="31" t="s">
        <v>129</v>
      </c>
      <c r="F54" s="2">
        <v>100</v>
      </c>
      <c r="G54" s="2"/>
      <c r="H54" s="2"/>
      <c r="I54" s="2">
        <v>100</v>
      </c>
      <c r="J54" s="2"/>
      <c r="K54" s="2"/>
      <c r="L54" s="2">
        <v>100</v>
      </c>
      <c r="M54" s="2"/>
      <c r="N54" s="2"/>
      <c r="O54" s="2">
        <v>100</v>
      </c>
      <c r="P54" s="2"/>
      <c r="Q54" s="2"/>
      <c r="R54" s="2">
        <v>100</v>
      </c>
      <c r="S54" s="2"/>
      <c r="T54" s="2"/>
      <c r="U54" s="2">
        <v>100</v>
      </c>
      <c r="V54" s="2"/>
      <c r="W54" s="2"/>
      <c r="X54" s="2">
        <v>100</v>
      </c>
      <c r="Y54" s="2"/>
      <c r="Z54" s="2"/>
      <c r="AA54" s="2">
        <v>100</v>
      </c>
      <c r="AB54" s="2"/>
      <c r="AC54" s="2"/>
      <c r="AD54" s="2">
        <v>100</v>
      </c>
      <c r="AE54" s="2"/>
      <c r="AF54" s="2"/>
      <c r="AG54" s="2">
        <v>100</v>
      </c>
      <c r="AH54" s="2"/>
      <c r="AI54" s="2"/>
      <c r="AJ54" s="2">
        <v>100</v>
      </c>
      <c r="AK54" s="2"/>
      <c r="AL54" s="2"/>
      <c r="AM54" s="2">
        <v>100</v>
      </c>
      <c r="AP54" s="2">
        <f t="shared" si="18"/>
        <v>1200</v>
      </c>
      <c r="AS54" s="18">
        <f t="shared" ref="AS54:AS63" si="22">AP54/$AP$4</f>
        <v>1.8270226925536218E-2</v>
      </c>
    </row>
    <row r="55" spans="2:45" hidden="1" outlineLevel="2" x14ac:dyDescent="0.3">
      <c r="B55" s="30" t="s">
        <v>130</v>
      </c>
      <c r="C55" s="31"/>
      <c r="D55" s="31" t="s">
        <v>128</v>
      </c>
      <c r="E55" s="31" t="s">
        <v>131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P55" s="2">
        <f t="shared" si="18"/>
        <v>0</v>
      </c>
      <c r="AS55" s="18">
        <f t="shared" si="22"/>
        <v>0</v>
      </c>
    </row>
    <row r="56" spans="2:45" hidden="1" outlineLevel="2" x14ac:dyDescent="0.3">
      <c r="B56" s="30" t="s">
        <v>132</v>
      </c>
      <c r="C56" s="31"/>
      <c r="D56" s="31" t="s">
        <v>128</v>
      </c>
      <c r="E56" s="31" t="s">
        <v>133</v>
      </c>
      <c r="F56" s="2">
        <v>5</v>
      </c>
      <c r="G56" s="2"/>
      <c r="H56" s="2"/>
      <c r="I56" s="2">
        <v>5</v>
      </c>
      <c r="J56" s="2"/>
      <c r="K56" s="2"/>
      <c r="L56" s="2">
        <v>5</v>
      </c>
      <c r="M56" s="2"/>
      <c r="N56" s="2"/>
      <c r="O56" s="2">
        <v>5</v>
      </c>
      <c r="P56" s="2"/>
      <c r="Q56" s="2"/>
      <c r="R56" s="2">
        <v>5</v>
      </c>
      <c r="S56" s="2"/>
      <c r="T56" s="2"/>
      <c r="U56" s="2">
        <v>5</v>
      </c>
      <c r="V56" s="2"/>
      <c r="W56" s="2"/>
      <c r="X56" s="2">
        <v>5</v>
      </c>
      <c r="Y56" s="2"/>
      <c r="Z56" s="2"/>
      <c r="AA56" s="2">
        <v>5</v>
      </c>
      <c r="AB56" s="2"/>
      <c r="AC56" s="2"/>
      <c r="AD56" s="2">
        <v>5</v>
      </c>
      <c r="AE56" s="2"/>
      <c r="AF56" s="2"/>
      <c r="AG56" s="2">
        <v>5</v>
      </c>
      <c r="AH56" s="2"/>
      <c r="AI56" s="2"/>
      <c r="AJ56" s="2">
        <v>5</v>
      </c>
      <c r="AK56" s="2"/>
      <c r="AL56" s="2"/>
      <c r="AM56" s="2">
        <v>5</v>
      </c>
      <c r="AP56" s="2">
        <f t="shared" si="18"/>
        <v>60</v>
      </c>
      <c r="AS56" s="18">
        <f t="shared" si="22"/>
        <v>9.1351134627681092E-4</v>
      </c>
    </row>
    <row r="57" spans="2:45" hidden="1" outlineLevel="2" x14ac:dyDescent="0.3">
      <c r="B57" s="30" t="s">
        <v>134</v>
      </c>
      <c r="C57" s="31"/>
      <c r="D57" s="31" t="s">
        <v>128</v>
      </c>
      <c r="E57" s="31" t="s">
        <v>135</v>
      </c>
      <c r="F57" s="2">
        <v>800</v>
      </c>
      <c r="G57" s="2"/>
      <c r="H57" s="2"/>
      <c r="I57" s="2">
        <v>0</v>
      </c>
      <c r="J57" s="2"/>
      <c r="K57" s="2"/>
      <c r="L57" s="2">
        <v>0</v>
      </c>
      <c r="M57" s="2"/>
      <c r="N57" s="2"/>
      <c r="O57" s="2">
        <v>0</v>
      </c>
      <c r="P57" s="2"/>
      <c r="Q57" s="2"/>
      <c r="R57" s="2">
        <v>0</v>
      </c>
      <c r="S57" s="2"/>
      <c r="T57" s="2"/>
      <c r="U57" s="2">
        <v>0</v>
      </c>
      <c r="V57" s="2"/>
      <c r="W57" s="2"/>
      <c r="X57" s="2">
        <v>0</v>
      </c>
      <c r="Y57" s="2"/>
      <c r="Z57" s="2"/>
      <c r="AA57" s="2">
        <v>0</v>
      </c>
      <c r="AB57" s="2"/>
      <c r="AC57" s="2"/>
      <c r="AD57" s="2">
        <v>800</v>
      </c>
      <c r="AE57" s="2"/>
      <c r="AF57" s="2"/>
      <c r="AG57" s="2">
        <v>0</v>
      </c>
      <c r="AH57" s="2"/>
      <c r="AI57" s="2"/>
      <c r="AJ57" s="2">
        <v>0</v>
      </c>
      <c r="AK57" s="2"/>
      <c r="AL57" s="2"/>
      <c r="AM57" s="2">
        <v>0</v>
      </c>
      <c r="AP57" s="2">
        <f t="shared" si="18"/>
        <v>1600</v>
      </c>
      <c r="AS57" s="18">
        <f t="shared" si="22"/>
        <v>2.4360302567381625E-2</v>
      </c>
    </row>
    <row r="58" spans="2:45" hidden="1" outlineLevel="2" x14ac:dyDescent="0.3">
      <c r="B58" s="30" t="s">
        <v>136</v>
      </c>
      <c r="C58" s="31"/>
      <c r="D58" s="31" t="s">
        <v>128</v>
      </c>
      <c r="E58" s="31" t="s">
        <v>137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P58" s="2">
        <f>SUM(F58,I58,L58,O58,R58,U58,X58,AA58,AD58,AG58,AJ58,AM58)</f>
        <v>0</v>
      </c>
      <c r="AS58" s="18">
        <f t="shared" si="22"/>
        <v>0</v>
      </c>
    </row>
    <row r="59" spans="2:45" hidden="1" outlineLevel="2" x14ac:dyDescent="0.3">
      <c r="B59" s="30" t="s">
        <v>138</v>
      </c>
      <c r="C59" s="31"/>
      <c r="D59" s="31" t="s">
        <v>128</v>
      </c>
      <c r="E59" s="31" t="s">
        <v>139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P59" s="2">
        <f t="shared" si="18"/>
        <v>0</v>
      </c>
      <c r="AS59" s="18">
        <f t="shared" si="22"/>
        <v>0</v>
      </c>
    </row>
    <row r="60" spans="2:45" hidden="1" outlineLevel="2" x14ac:dyDescent="0.3">
      <c r="B60" s="30" t="s">
        <v>140</v>
      </c>
      <c r="C60" s="31"/>
      <c r="D60" s="31" t="s">
        <v>128</v>
      </c>
      <c r="E60" s="31" t="s">
        <v>141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P60" s="2">
        <f t="shared" si="18"/>
        <v>0</v>
      </c>
      <c r="AS60" s="18">
        <f t="shared" si="22"/>
        <v>0</v>
      </c>
    </row>
    <row r="61" spans="2:45" hidden="1" outlineLevel="2" x14ac:dyDescent="0.3">
      <c r="B61" s="30" t="s">
        <v>142</v>
      </c>
      <c r="C61" s="31"/>
      <c r="D61" s="31" t="s">
        <v>128</v>
      </c>
      <c r="E61" s="31" t="s">
        <v>143</v>
      </c>
      <c r="F61" s="2">
        <f>LABOUR!C21</f>
        <v>806</v>
      </c>
      <c r="G61" s="2"/>
      <c r="H61" s="2"/>
      <c r="I61" s="2">
        <f>LABOUR!E21</f>
        <v>744</v>
      </c>
      <c r="J61" s="2"/>
      <c r="K61" s="2"/>
      <c r="L61" s="2">
        <f>LABOUR!G21</f>
        <v>806</v>
      </c>
      <c r="M61" s="2"/>
      <c r="N61" s="2"/>
      <c r="O61" s="2">
        <f>LABOUR!I21</f>
        <v>775</v>
      </c>
      <c r="P61" s="2"/>
      <c r="Q61" s="2"/>
      <c r="R61" s="2">
        <f>LABOUR!K21</f>
        <v>806</v>
      </c>
      <c r="S61" s="2"/>
      <c r="T61" s="2"/>
      <c r="U61" s="2">
        <f>LABOUR!M21</f>
        <v>775</v>
      </c>
      <c r="V61" s="2"/>
      <c r="W61" s="2"/>
      <c r="X61" s="2">
        <f>LABOUR!O21</f>
        <v>806</v>
      </c>
      <c r="Y61" s="2"/>
      <c r="Z61" s="2"/>
      <c r="AA61" s="2">
        <f>LABOUR!Q21</f>
        <v>806</v>
      </c>
      <c r="AB61" s="2"/>
      <c r="AC61" s="2"/>
      <c r="AD61" s="2">
        <f>LABOUR!S21</f>
        <v>775</v>
      </c>
      <c r="AE61" s="2"/>
      <c r="AF61" s="2"/>
      <c r="AG61" s="2">
        <f>LABOUR!U21</f>
        <v>806</v>
      </c>
      <c r="AH61" s="2"/>
      <c r="AI61" s="2"/>
      <c r="AJ61" s="2">
        <f>LABOUR!W21</f>
        <v>775</v>
      </c>
      <c r="AK61" s="2"/>
      <c r="AL61" s="2"/>
      <c r="AM61" s="2">
        <f>LABOUR!Y21</f>
        <v>1301</v>
      </c>
      <c r="AP61" s="2">
        <f t="shared" si="18"/>
        <v>9981</v>
      </c>
      <c r="AS61" s="18">
        <f t="shared" si="22"/>
        <v>0.15196261245314749</v>
      </c>
    </row>
    <row r="62" spans="2:45" hidden="1" outlineLevel="2" x14ac:dyDescent="0.3">
      <c r="B62" s="30" t="s">
        <v>144</v>
      </c>
      <c r="C62" s="31"/>
      <c r="D62" s="31" t="s">
        <v>128</v>
      </c>
      <c r="E62" s="31" t="s">
        <v>145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P62" s="2">
        <f t="shared" si="18"/>
        <v>0</v>
      </c>
      <c r="AS62" s="18">
        <f t="shared" si="22"/>
        <v>0</v>
      </c>
    </row>
    <row r="63" spans="2:45" ht="15" hidden="1" outlineLevel="2" thickBot="1" x14ac:dyDescent="0.35">
      <c r="B63" s="37" t="s">
        <v>146</v>
      </c>
      <c r="C63" s="38"/>
      <c r="D63" s="38" t="s">
        <v>128</v>
      </c>
      <c r="E63" s="39" t="s">
        <v>147</v>
      </c>
      <c r="F63" s="22">
        <f>0.02*F61</f>
        <v>16.12</v>
      </c>
      <c r="G63" s="22"/>
      <c r="H63" s="22"/>
      <c r="I63" s="22">
        <f t="shared" ref="I63:AM63" si="23">0.02*I61</f>
        <v>14.88</v>
      </c>
      <c r="J63" s="22"/>
      <c r="K63" s="22"/>
      <c r="L63" s="22">
        <f t="shared" si="23"/>
        <v>16.12</v>
      </c>
      <c r="M63" s="22"/>
      <c r="N63" s="22"/>
      <c r="O63" s="22">
        <f t="shared" si="23"/>
        <v>15.5</v>
      </c>
      <c r="P63" s="22"/>
      <c r="Q63" s="22"/>
      <c r="R63" s="22">
        <f t="shared" si="23"/>
        <v>16.12</v>
      </c>
      <c r="S63" s="22"/>
      <c r="T63" s="22"/>
      <c r="U63" s="22">
        <f t="shared" si="23"/>
        <v>15.5</v>
      </c>
      <c r="V63" s="22"/>
      <c r="W63" s="22"/>
      <c r="X63" s="22">
        <f t="shared" si="23"/>
        <v>16.12</v>
      </c>
      <c r="Y63" s="22"/>
      <c r="Z63" s="22"/>
      <c r="AA63" s="22">
        <f t="shared" si="23"/>
        <v>16.12</v>
      </c>
      <c r="AB63" s="22"/>
      <c r="AC63" s="22"/>
      <c r="AD63" s="22">
        <f t="shared" si="23"/>
        <v>15.5</v>
      </c>
      <c r="AE63" s="22"/>
      <c r="AF63" s="22"/>
      <c r="AG63" s="22">
        <f t="shared" si="23"/>
        <v>16.12</v>
      </c>
      <c r="AH63" s="22"/>
      <c r="AI63" s="22"/>
      <c r="AJ63" s="22">
        <f t="shared" si="23"/>
        <v>15.5</v>
      </c>
      <c r="AK63" s="22"/>
      <c r="AL63" s="22"/>
      <c r="AM63" s="22">
        <f t="shared" si="23"/>
        <v>26.02</v>
      </c>
      <c r="AN63" s="20"/>
      <c r="AO63" s="20"/>
      <c r="AP63" s="22">
        <f t="shared" si="18"/>
        <v>199.62000000000003</v>
      </c>
      <c r="AQ63" s="20"/>
      <c r="AR63" s="20"/>
      <c r="AS63" s="24">
        <f t="shared" si="22"/>
        <v>3.0392522490629505E-3</v>
      </c>
    </row>
    <row r="64" spans="2:45" ht="15" outlineLevel="1" collapsed="1" thickBot="1" x14ac:dyDescent="0.35">
      <c r="B64" s="40"/>
      <c r="C64" s="40"/>
      <c r="D64" s="40"/>
      <c r="E64" s="3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2:45" ht="15" outlineLevel="1" thickBot="1" x14ac:dyDescent="0.35">
      <c r="B65" s="41"/>
      <c r="C65" s="42"/>
      <c r="D65" s="42"/>
      <c r="E65" s="36" t="s">
        <v>148</v>
      </c>
      <c r="F65" s="6">
        <f>SUM(F66:F70)</f>
        <v>386.26</v>
      </c>
      <c r="G65" s="6">
        <f t="shared" ref="G65:AM65" si="24">SUM(G66:G70)</f>
        <v>0</v>
      </c>
      <c r="H65" s="6">
        <f t="shared" si="24"/>
        <v>0</v>
      </c>
      <c r="I65" s="6">
        <f t="shared" si="24"/>
        <v>131.63999999999999</v>
      </c>
      <c r="J65" s="6">
        <f t="shared" si="24"/>
        <v>0</v>
      </c>
      <c r="K65" s="6">
        <f t="shared" si="24"/>
        <v>0</v>
      </c>
      <c r="L65" s="6">
        <f t="shared" si="24"/>
        <v>131.57999999999998</v>
      </c>
      <c r="M65" s="6">
        <f t="shared" si="24"/>
        <v>0</v>
      </c>
      <c r="N65" s="6">
        <f t="shared" si="24"/>
        <v>0</v>
      </c>
      <c r="O65" s="6">
        <f t="shared" si="24"/>
        <v>201.22</v>
      </c>
      <c r="P65" s="6">
        <f t="shared" si="24"/>
        <v>0</v>
      </c>
      <c r="Q65" s="6">
        <f t="shared" si="24"/>
        <v>0</v>
      </c>
      <c r="R65" s="6">
        <f t="shared" si="24"/>
        <v>246.58</v>
      </c>
      <c r="S65" s="6">
        <f t="shared" si="24"/>
        <v>0</v>
      </c>
      <c r="T65" s="6">
        <f t="shared" si="24"/>
        <v>0</v>
      </c>
      <c r="U65" s="6">
        <f t="shared" si="24"/>
        <v>416.32</v>
      </c>
      <c r="V65" s="6">
        <f t="shared" si="24"/>
        <v>0</v>
      </c>
      <c r="W65" s="6">
        <f t="shared" si="24"/>
        <v>0</v>
      </c>
      <c r="X65" s="6">
        <f t="shared" si="24"/>
        <v>271.96000000000004</v>
      </c>
      <c r="Y65" s="6">
        <f t="shared" si="24"/>
        <v>0</v>
      </c>
      <c r="Z65" s="6">
        <f t="shared" si="24"/>
        <v>0</v>
      </c>
      <c r="AA65" s="6">
        <f t="shared" si="24"/>
        <v>327.48</v>
      </c>
      <c r="AB65" s="6">
        <f t="shared" si="24"/>
        <v>0</v>
      </c>
      <c r="AC65" s="6">
        <f t="shared" si="24"/>
        <v>0</v>
      </c>
      <c r="AD65" s="6">
        <f t="shared" si="24"/>
        <v>273.52</v>
      </c>
      <c r="AE65" s="6">
        <f t="shared" si="24"/>
        <v>0</v>
      </c>
      <c r="AF65" s="6">
        <f t="shared" si="24"/>
        <v>0</v>
      </c>
      <c r="AG65" s="6">
        <f t="shared" si="24"/>
        <v>488.74</v>
      </c>
      <c r="AH65" s="6">
        <f t="shared" si="24"/>
        <v>0</v>
      </c>
      <c r="AI65" s="6">
        <f t="shared" si="24"/>
        <v>0</v>
      </c>
      <c r="AJ65" s="6">
        <f t="shared" si="24"/>
        <v>277.26</v>
      </c>
      <c r="AK65" s="6">
        <f t="shared" si="24"/>
        <v>0</v>
      </c>
      <c r="AL65" s="6">
        <f t="shared" si="24"/>
        <v>0</v>
      </c>
      <c r="AM65" s="6">
        <f t="shared" si="24"/>
        <v>205.82</v>
      </c>
      <c r="AN65" s="7"/>
      <c r="AO65" s="7"/>
      <c r="AP65" s="28">
        <f>SUM(F65,I65,L65,O65,R65,U65,X65,AA65,AD65,AG65,AJ65,AM65)</f>
        <v>3358.3800000000006</v>
      </c>
      <c r="AQ65" s="7"/>
      <c r="AR65" s="7"/>
      <c r="AS65" s="29">
        <f>AP65/$AP$4</f>
        <v>5.1131970585151947E-2</v>
      </c>
    </row>
    <row r="66" spans="2:45" hidden="1" outlineLevel="2" x14ac:dyDescent="0.3">
      <c r="B66" s="30" t="s">
        <v>149</v>
      </c>
      <c r="C66" s="31"/>
      <c r="D66" s="31" t="s">
        <v>17</v>
      </c>
      <c r="E66" s="31" t="s">
        <v>150</v>
      </c>
      <c r="F66" s="2">
        <v>78.13</v>
      </c>
      <c r="G66" s="2"/>
      <c r="H66" s="2"/>
      <c r="I66" s="2">
        <v>50.82</v>
      </c>
      <c r="J66" s="2"/>
      <c r="K66" s="2"/>
      <c r="L66" s="2">
        <v>50.79</v>
      </c>
      <c r="M66" s="2"/>
      <c r="N66" s="2"/>
      <c r="O66" s="2">
        <v>85.61</v>
      </c>
      <c r="P66" s="2"/>
      <c r="Q66" s="2"/>
      <c r="R66" s="2">
        <v>108.29</v>
      </c>
      <c r="S66" s="2"/>
      <c r="T66" s="2"/>
      <c r="U66" s="2">
        <v>93.16</v>
      </c>
      <c r="V66" s="2"/>
      <c r="W66" s="2"/>
      <c r="X66" s="2">
        <v>120.98</v>
      </c>
      <c r="Y66" s="2"/>
      <c r="Z66" s="2"/>
      <c r="AA66" s="2">
        <v>148.74</v>
      </c>
      <c r="AB66" s="2"/>
      <c r="AC66" s="2"/>
      <c r="AD66" s="2">
        <v>121.76</v>
      </c>
      <c r="AE66" s="2"/>
      <c r="AF66" s="2"/>
      <c r="AG66" s="2">
        <v>129.37</v>
      </c>
      <c r="AH66" s="2"/>
      <c r="AI66" s="2"/>
      <c r="AJ66" s="2">
        <v>123.63</v>
      </c>
      <c r="AK66" s="2"/>
      <c r="AL66" s="2"/>
      <c r="AM66" s="2">
        <v>87.91</v>
      </c>
      <c r="AP66" s="2">
        <f t="shared" ref="AP66:AP70" si="25">SUM(F66,I66,L66,O66,R66,U66,X66,AA66,AD66,AG66,AJ66,AM66)</f>
        <v>1199.19</v>
      </c>
      <c r="AS66" s="18">
        <f t="shared" ref="AS66:AS70" si="26">AP66/$AP$4</f>
        <v>1.8257894522361481E-2</v>
      </c>
    </row>
    <row r="67" spans="2:45" hidden="1" outlineLevel="2" x14ac:dyDescent="0.3">
      <c r="B67" s="30" t="s">
        <v>151</v>
      </c>
      <c r="C67" s="31"/>
      <c r="D67" s="31" t="s">
        <v>17</v>
      </c>
      <c r="E67" s="31" t="s">
        <v>152</v>
      </c>
      <c r="F67" s="2">
        <v>78.13</v>
      </c>
      <c r="G67" s="2"/>
      <c r="H67" s="2"/>
      <c r="I67" s="2">
        <v>50.82</v>
      </c>
      <c r="J67" s="2"/>
      <c r="K67" s="2"/>
      <c r="L67" s="2">
        <v>50.79</v>
      </c>
      <c r="M67" s="2"/>
      <c r="N67" s="2"/>
      <c r="O67" s="2">
        <v>85.61</v>
      </c>
      <c r="P67" s="2"/>
      <c r="Q67" s="2"/>
      <c r="R67" s="2">
        <v>108.29</v>
      </c>
      <c r="S67" s="2"/>
      <c r="T67" s="2"/>
      <c r="U67" s="2">
        <v>93.16</v>
      </c>
      <c r="V67" s="2"/>
      <c r="W67" s="2"/>
      <c r="X67" s="2">
        <v>120.98</v>
      </c>
      <c r="Y67" s="2"/>
      <c r="Z67" s="2"/>
      <c r="AA67" s="2">
        <v>148.74</v>
      </c>
      <c r="AB67" s="2"/>
      <c r="AC67" s="2"/>
      <c r="AD67" s="2">
        <v>121.76</v>
      </c>
      <c r="AE67" s="2"/>
      <c r="AF67" s="2"/>
      <c r="AG67" s="2">
        <v>129.37</v>
      </c>
      <c r="AH67" s="2"/>
      <c r="AI67" s="2"/>
      <c r="AJ67" s="2">
        <v>123.63</v>
      </c>
      <c r="AK67" s="2"/>
      <c r="AL67" s="2"/>
      <c r="AM67" s="2">
        <v>87.91</v>
      </c>
      <c r="AP67" s="2">
        <f t="shared" si="25"/>
        <v>1199.19</v>
      </c>
      <c r="AS67" s="18">
        <f t="shared" si="26"/>
        <v>1.8257894522361481E-2</v>
      </c>
    </row>
    <row r="68" spans="2:45" hidden="1" outlineLevel="2" x14ac:dyDescent="0.3">
      <c r="B68" s="30" t="s">
        <v>153</v>
      </c>
      <c r="C68" s="31"/>
      <c r="D68" s="31" t="s">
        <v>17</v>
      </c>
      <c r="E68" s="31" t="s">
        <v>154</v>
      </c>
      <c r="F68" s="2">
        <v>200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>
        <v>200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>
        <v>200</v>
      </c>
      <c r="AH68" s="2"/>
      <c r="AI68" s="2"/>
      <c r="AJ68" s="2"/>
      <c r="AK68" s="2"/>
      <c r="AL68" s="2"/>
      <c r="AM68" s="2"/>
      <c r="AP68" s="2">
        <f t="shared" si="25"/>
        <v>600</v>
      </c>
      <c r="AS68" s="18">
        <f t="shared" si="26"/>
        <v>9.1351134627681088E-3</v>
      </c>
    </row>
    <row r="69" spans="2:45" hidden="1" outlineLevel="2" x14ac:dyDescent="0.3">
      <c r="B69" s="43" t="s">
        <v>155</v>
      </c>
      <c r="C69" s="31"/>
      <c r="D69" s="31" t="s">
        <v>17</v>
      </c>
      <c r="E69" s="31" t="s">
        <v>156</v>
      </c>
      <c r="F69" s="2">
        <v>10</v>
      </c>
      <c r="G69" s="2"/>
      <c r="H69" s="2"/>
      <c r="I69" s="2">
        <v>10</v>
      </c>
      <c r="J69" s="2"/>
      <c r="K69" s="2"/>
      <c r="L69" s="2">
        <v>10</v>
      </c>
      <c r="M69" s="2"/>
      <c r="N69" s="2"/>
      <c r="O69" s="2">
        <v>10</v>
      </c>
      <c r="P69" s="2"/>
      <c r="Q69" s="2"/>
      <c r="R69" s="2">
        <v>10</v>
      </c>
      <c r="S69" s="2"/>
      <c r="T69" s="2"/>
      <c r="U69" s="2">
        <v>10</v>
      </c>
      <c r="V69" s="2"/>
      <c r="W69" s="2"/>
      <c r="X69" s="2">
        <v>10</v>
      </c>
      <c r="Y69" s="2"/>
      <c r="Z69" s="2"/>
      <c r="AA69" s="2">
        <v>10</v>
      </c>
      <c r="AB69" s="2"/>
      <c r="AC69" s="2"/>
      <c r="AD69" s="2">
        <v>10</v>
      </c>
      <c r="AE69" s="2"/>
      <c r="AF69" s="2"/>
      <c r="AG69" s="2">
        <v>10</v>
      </c>
      <c r="AH69" s="2"/>
      <c r="AI69" s="2"/>
      <c r="AJ69" s="2">
        <v>10</v>
      </c>
      <c r="AK69" s="2"/>
      <c r="AL69" s="2"/>
      <c r="AM69" s="2">
        <v>10</v>
      </c>
      <c r="AP69" s="2">
        <f t="shared" si="25"/>
        <v>120</v>
      </c>
      <c r="AS69" s="18">
        <f t="shared" si="26"/>
        <v>1.8270226925536218E-3</v>
      </c>
    </row>
    <row r="70" spans="2:45" ht="15" hidden="1" outlineLevel="2" thickBot="1" x14ac:dyDescent="0.35">
      <c r="B70" s="37" t="s">
        <v>157</v>
      </c>
      <c r="C70" s="33"/>
      <c r="D70" s="33" t="s">
        <v>17</v>
      </c>
      <c r="E70" s="33" t="s">
        <v>158</v>
      </c>
      <c r="F70" s="22">
        <v>20</v>
      </c>
      <c r="G70" s="22"/>
      <c r="H70" s="22"/>
      <c r="I70" s="22">
        <v>20</v>
      </c>
      <c r="J70" s="22"/>
      <c r="K70" s="22"/>
      <c r="L70" s="22">
        <v>20</v>
      </c>
      <c r="M70" s="22"/>
      <c r="N70" s="22"/>
      <c r="O70" s="22">
        <v>20</v>
      </c>
      <c r="P70" s="22"/>
      <c r="Q70" s="22"/>
      <c r="R70" s="22">
        <v>20</v>
      </c>
      <c r="S70" s="22"/>
      <c r="T70" s="22"/>
      <c r="U70" s="22">
        <v>20</v>
      </c>
      <c r="V70" s="22"/>
      <c r="W70" s="22"/>
      <c r="X70" s="22">
        <v>20</v>
      </c>
      <c r="Y70" s="22"/>
      <c r="Z70" s="22"/>
      <c r="AA70" s="22">
        <v>20</v>
      </c>
      <c r="AB70" s="22"/>
      <c r="AC70" s="22"/>
      <c r="AD70" s="22">
        <v>20</v>
      </c>
      <c r="AE70" s="22"/>
      <c r="AF70" s="22"/>
      <c r="AG70" s="22">
        <v>20</v>
      </c>
      <c r="AH70" s="22"/>
      <c r="AI70" s="22"/>
      <c r="AJ70" s="22">
        <v>20</v>
      </c>
      <c r="AK70" s="22"/>
      <c r="AL70" s="22"/>
      <c r="AM70" s="22">
        <v>20</v>
      </c>
      <c r="AN70" s="20"/>
      <c r="AO70" s="20"/>
      <c r="AP70" s="22">
        <f t="shared" si="25"/>
        <v>240</v>
      </c>
      <c r="AQ70" s="20"/>
      <c r="AR70" s="20"/>
      <c r="AS70" s="24">
        <f t="shared" si="26"/>
        <v>3.6540453851072437E-3</v>
      </c>
    </row>
    <row r="71" spans="2:45" ht="15" outlineLevel="1" collapsed="1" thickBot="1" x14ac:dyDescent="0.35">
      <c r="B71" s="31"/>
      <c r="C71" s="31"/>
      <c r="D71" s="31"/>
      <c r="E71" s="3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2:45" ht="15" outlineLevel="1" thickBot="1" x14ac:dyDescent="0.35">
      <c r="B72" s="41"/>
      <c r="C72" s="42"/>
      <c r="D72" s="42"/>
      <c r="E72" s="36" t="s">
        <v>159</v>
      </c>
      <c r="F72" s="6">
        <f>SUM(F73:F80)</f>
        <v>5</v>
      </c>
      <c r="G72" s="6">
        <f t="shared" ref="G72:AM72" si="27">SUM(G73:G80)</f>
        <v>0</v>
      </c>
      <c r="H72" s="6">
        <f t="shared" si="27"/>
        <v>0</v>
      </c>
      <c r="I72" s="6">
        <f t="shared" si="27"/>
        <v>5</v>
      </c>
      <c r="J72" s="6">
        <f t="shared" si="27"/>
        <v>0</v>
      </c>
      <c r="K72" s="6">
        <f t="shared" si="27"/>
        <v>0</v>
      </c>
      <c r="L72" s="6">
        <f t="shared" si="27"/>
        <v>5</v>
      </c>
      <c r="M72" s="6">
        <f t="shared" si="27"/>
        <v>0</v>
      </c>
      <c r="N72" s="6">
        <f t="shared" si="27"/>
        <v>0</v>
      </c>
      <c r="O72" s="6">
        <f t="shared" si="27"/>
        <v>5</v>
      </c>
      <c r="P72" s="6">
        <f t="shared" si="27"/>
        <v>0</v>
      </c>
      <c r="Q72" s="6">
        <f t="shared" si="27"/>
        <v>0</v>
      </c>
      <c r="R72" s="6">
        <f t="shared" si="27"/>
        <v>5</v>
      </c>
      <c r="S72" s="6">
        <f t="shared" si="27"/>
        <v>0</v>
      </c>
      <c r="T72" s="6">
        <f t="shared" si="27"/>
        <v>0</v>
      </c>
      <c r="U72" s="6">
        <f t="shared" si="27"/>
        <v>5</v>
      </c>
      <c r="V72" s="6">
        <f t="shared" si="27"/>
        <v>0</v>
      </c>
      <c r="W72" s="6">
        <f t="shared" si="27"/>
        <v>0</v>
      </c>
      <c r="X72" s="6">
        <f t="shared" si="27"/>
        <v>5</v>
      </c>
      <c r="Y72" s="6">
        <f t="shared" si="27"/>
        <v>0</v>
      </c>
      <c r="Z72" s="6">
        <f t="shared" si="27"/>
        <v>0</v>
      </c>
      <c r="AA72" s="6">
        <f t="shared" si="27"/>
        <v>5</v>
      </c>
      <c r="AB72" s="6">
        <f t="shared" si="27"/>
        <v>0</v>
      </c>
      <c r="AC72" s="6">
        <f t="shared" si="27"/>
        <v>0</v>
      </c>
      <c r="AD72" s="6">
        <f t="shared" si="27"/>
        <v>5</v>
      </c>
      <c r="AE72" s="6">
        <f t="shared" si="27"/>
        <v>0</v>
      </c>
      <c r="AF72" s="6">
        <f t="shared" si="27"/>
        <v>0</v>
      </c>
      <c r="AG72" s="6">
        <f t="shared" si="27"/>
        <v>5</v>
      </c>
      <c r="AH72" s="6">
        <f t="shared" si="27"/>
        <v>0</v>
      </c>
      <c r="AI72" s="6">
        <f t="shared" si="27"/>
        <v>0</v>
      </c>
      <c r="AJ72" s="6">
        <f t="shared" si="27"/>
        <v>5</v>
      </c>
      <c r="AK72" s="6">
        <f t="shared" si="27"/>
        <v>0</v>
      </c>
      <c r="AL72" s="6">
        <f t="shared" si="27"/>
        <v>0</v>
      </c>
      <c r="AM72" s="6">
        <f t="shared" si="27"/>
        <v>5</v>
      </c>
      <c r="AN72" s="7"/>
      <c r="AO72" s="7"/>
      <c r="AP72" s="28">
        <f>SUM(F72,I72,L72,O72,R72,U72,X72,AA72,AD72,AG72,AJ72,AM72)</f>
        <v>60</v>
      </c>
      <c r="AQ72" s="7"/>
      <c r="AR72" s="7"/>
      <c r="AS72" s="29">
        <f>AP72/$AP$4</f>
        <v>9.1351134627681092E-4</v>
      </c>
    </row>
    <row r="73" spans="2:45" hidden="1" outlineLevel="2" x14ac:dyDescent="0.3">
      <c r="B73" s="30" t="s">
        <v>160</v>
      </c>
      <c r="C73" s="31"/>
      <c r="D73" s="31" t="s">
        <v>17</v>
      </c>
      <c r="E73" s="31" t="s">
        <v>161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P73" s="2">
        <f t="shared" ref="AP73:AP80" si="28">SUM(F73,I73,L73,O73,R73,U73,X73,AA73,AD73,AG73,AJ73,AM73)</f>
        <v>0</v>
      </c>
      <c r="AS73" s="18">
        <f t="shared" ref="AS73:AS80" si="29">AP73/$AP$4</f>
        <v>0</v>
      </c>
    </row>
    <row r="74" spans="2:45" hidden="1" outlineLevel="2" x14ac:dyDescent="0.3">
      <c r="B74" s="30" t="s">
        <v>162</v>
      </c>
      <c r="C74" s="31"/>
      <c r="D74" s="31" t="s">
        <v>17</v>
      </c>
      <c r="E74" s="31" t="s">
        <v>163</v>
      </c>
      <c r="F74" s="2">
        <v>5</v>
      </c>
      <c r="G74" s="2"/>
      <c r="H74" s="2"/>
      <c r="I74" s="2">
        <v>5</v>
      </c>
      <c r="J74" s="2"/>
      <c r="K74" s="2"/>
      <c r="L74" s="2">
        <v>5</v>
      </c>
      <c r="M74" s="2"/>
      <c r="N74" s="2"/>
      <c r="O74" s="2">
        <v>5</v>
      </c>
      <c r="P74" s="2"/>
      <c r="Q74" s="2"/>
      <c r="R74" s="2">
        <v>5</v>
      </c>
      <c r="S74" s="2"/>
      <c r="T74" s="2"/>
      <c r="U74" s="2">
        <v>5</v>
      </c>
      <c r="V74" s="2"/>
      <c r="W74" s="2"/>
      <c r="X74" s="2">
        <v>5</v>
      </c>
      <c r="Y74" s="2"/>
      <c r="Z74" s="2"/>
      <c r="AA74" s="2">
        <v>5</v>
      </c>
      <c r="AB74" s="2"/>
      <c r="AC74" s="2"/>
      <c r="AD74" s="2">
        <v>5</v>
      </c>
      <c r="AE74" s="2"/>
      <c r="AF74" s="2"/>
      <c r="AG74" s="2">
        <v>5</v>
      </c>
      <c r="AH74" s="2"/>
      <c r="AI74" s="2"/>
      <c r="AJ74" s="2">
        <v>5</v>
      </c>
      <c r="AK74" s="2"/>
      <c r="AL74" s="2"/>
      <c r="AM74" s="2">
        <v>5</v>
      </c>
      <c r="AP74" s="2">
        <f t="shared" si="28"/>
        <v>60</v>
      </c>
      <c r="AS74" s="18">
        <f t="shared" si="29"/>
        <v>9.1351134627681092E-4</v>
      </c>
    </row>
    <row r="75" spans="2:45" hidden="1" outlineLevel="2" x14ac:dyDescent="0.3">
      <c r="B75" s="30" t="s">
        <v>164</v>
      </c>
      <c r="C75" s="31"/>
      <c r="D75" s="31" t="s">
        <v>17</v>
      </c>
      <c r="E75" s="31" t="s">
        <v>165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P75" s="2">
        <f t="shared" si="28"/>
        <v>0</v>
      </c>
      <c r="AS75" s="18">
        <f t="shared" si="29"/>
        <v>0</v>
      </c>
    </row>
    <row r="76" spans="2:45" hidden="1" outlineLevel="2" x14ac:dyDescent="0.3">
      <c r="B76" s="30" t="s">
        <v>166</v>
      </c>
      <c r="C76" s="31"/>
      <c r="D76" s="31" t="s">
        <v>17</v>
      </c>
      <c r="E76" s="31" t="s">
        <v>167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P76" s="2">
        <f t="shared" si="28"/>
        <v>0</v>
      </c>
      <c r="AS76" s="18">
        <f t="shared" si="29"/>
        <v>0</v>
      </c>
    </row>
    <row r="77" spans="2:45" hidden="1" outlineLevel="2" x14ac:dyDescent="0.3">
      <c r="B77" s="30" t="s">
        <v>168</v>
      </c>
      <c r="C77" s="31"/>
      <c r="D77" s="31" t="s">
        <v>17</v>
      </c>
      <c r="E77" s="31" t="s">
        <v>169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P77" s="2">
        <f t="shared" si="28"/>
        <v>0</v>
      </c>
      <c r="AS77" s="18">
        <f t="shared" si="29"/>
        <v>0</v>
      </c>
    </row>
    <row r="78" spans="2:45" hidden="1" outlineLevel="2" x14ac:dyDescent="0.3">
      <c r="B78" s="30" t="s">
        <v>170</v>
      </c>
      <c r="C78" s="31"/>
      <c r="D78" s="31" t="s">
        <v>17</v>
      </c>
      <c r="E78" s="31" t="s">
        <v>171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P78" s="2">
        <f t="shared" si="28"/>
        <v>0</v>
      </c>
      <c r="AS78" s="18">
        <f t="shared" si="29"/>
        <v>0</v>
      </c>
    </row>
    <row r="79" spans="2:45" hidden="1" outlineLevel="2" x14ac:dyDescent="0.3">
      <c r="B79" s="30" t="s">
        <v>172</v>
      </c>
      <c r="C79" s="31"/>
      <c r="D79" s="31" t="s">
        <v>17</v>
      </c>
      <c r="E79" s="31" t="s">
        <v>173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P79" s="2">
        <f t="shared" si="28"/>
        <v>0</v>
      </c>
      <c r="AS79" s="18">
        <f t="shared" si="29"/>
        <v>0</v>
      </c>
    </row>
    <row r="80" spans="2:45" ht="15" hidden="1" outlineLevel="2" thickBot="1" x14ac:dyDescent="0.35">
      <c r="B80" s="32" t="s">
        <v>174</v>
      </c>
      <c r="C80" s="33"/>
      <c r="D80" s="33" t="s">
        <v>17</v>
      </c>
      <c r="E80" s="33" t="s">
        <v>175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0"/>
      <c r="AO80" s="20"/>
      <c r="AP80" s="22">
        <f t="shared" si="28"/>
        <v>0</v>
      </c>
      <c r="AQ80" s="20"/>
      <c r="AR80" s="20"/>
      <c r="AS80" s="24">
        <f t="shared" si="29"/>
        <v>0</v>
      </c>
    </row>
    <row r="81" spans="2:45" ht="15" outlineLevel="1" collapsed="1" thickBot="1" x14ac:dyDescent="0.35">
      <c r="B81" s="31"/>
      <c r="C81" s="31"/>
      <c r="D81" s="31"/>
      <c r="E81" s="3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2:45" ht="15" outlineLevel="1" thickBot="1" x14ac:dyDescent="0.35">
      <c r="B82" s="34" t="s">
        <v>176</v>
      </c>
      <c r="C82" s="35"/>
      <c r="D82" s="35"/>
      <c r="E82" s="36" t="s">
        <v>177</v>
      </c>
      <c r="F82" s="6">
        <f>SUM(F83:F86)</f>
        <v>10</v>
      </c>
      <c r="G82" s="6">
        <f t="shared" ref="G82:AM82" si="30">SUM(G83:G86)</f>
        <v>0</v>
      </c>
      <c r="H82" s="6">
        <f t="shared" si="30"/>
        <v>0</v>
      </c>
      <c r="I82" s="6">
        <f t="shared" si="30"/>
        <v>10</v>
      </c>
      <c r="J82" s="6">
        <f t="shared" si="30"/>
        <v>0</v>
      </c>
      <c r="K82" s="6">
        <f t="shared" si="30"/>
        <v>0</v>
      </c>
      <c r="L82" s="6">
        <f t="shared" si="30"/>
        <v>10</v>
      </c>
      <c r="M82" s="6">
        <f t="shared" si="30"/>
        <v>0</v>
      </c>
      <c r="N82" s="6">
        <f t="shared" si="30"/>
        <v>0</v>
      </c>
      <c r="O82" s="6">
        <f t="shared" si="30"/>
        <v>10</v>
      </c>
      <c r="P82" s="6">
        <f t="shared" si="30"/>
        <v>0</v>
      </c>
      <c r="Q82" s="6">
        <f t="shared" si="30"/>
        <v>0</v>
      </c>
      <c r="R82" s="6">
        <f t="shared" si="30"/>
        <v>10</v>
      </c>
      <c r="S82" s="6">
        <f t="shared" si="30"/>
        <v>0</v>
      </c>
      <c r="T82" s="6">
        <f t="shared" si="30"/>
        <v>0</v>
      </c>
      <c r="U82" s="6">
        <f t="shared" si="30"/>
        <v>10</v>
      </c>
      <c r="V82" s="6">
        <f t="shared" si="30"/>
        <v>0</v>
      </c>
      <c r="W82" s="6">
        <f t="shared" si="30"/>
        <v>0</v>
      </c>
      <c r="X82" s="6">
        <f t="shared" si="30"/>
        <v>10</v>
      </c>
      <c r="Y82" s="6">
        <f t="shared" si="30"/>
        <v>0</v>
      </c>
      <c r="Z82" s="6">
        <f t="shared" si="30"/>
        <v>0</v>
      </c>
      <c r="AA82" s="6">
        <f t="shared" si="30"/>
        <v>10</v>
      </c>
      <c r="AB82" s="6">
        <f t="shared" si="30"/>
        <v>0</v>
      </c>
      <c r="AC82" s="6">
        <f t="shared" si="30"/>
        <v>0</v>
      </c>
      <c r="AD82" s="6">
        <f t="shared" si="30"/>
        <v>10</v>
      </c>
      <c r="AE82" s="6">
        <f t="shared" si="30"/>
        <v>0</v>
      </c>
      <c r="AF82" s="6">
        <f t="shared" si="30"/>
        <v>0</v>
      </c>
      <c r="AG82" s="6">
        <f t="shared" si="30"/>
        <v>10</v>
      </c>
      <c r="AH82" s="6">
        <f t="shared" si="30"/>
        <v>0</v>
      </c>
      <c r="AI82" s="6">
        <f t="shared" si="30"/>
        <v>0</v>
      </c>
      <c r="AJ82" s="6">
        <f t="shared" si="30"/>
        <v>10</v>
      </c>
      <c r="AK82" s="6">
        <f t="shared" si="30"/>
        <v>0</v>
      </c>
      <c r="AL82" s="6">
        <f t="shared" si="30"/>
        <v>0</v>
      </c>
      <c r="AM82" s="6">
        <f t="shared" si="30"/>
        <v>10</v>
      </c>
      <c r="AN82" s="7"/>
      <c r="AO82" s="7"/>
      <c r="AP82" s="28">
        <f>SUM(F82,I82,L82,O82,R82,U82,X82,AA82,AD82,AG82,AJ82,AM82)</f>
        <v>120</v>
      </c>
      <c r="AQ82" s="7"/>
      <c r="AR82" s="7"/>
      <c r="AS82" s="29">
        <f>AP82/$AP$4</f>
        <v>1.8270226925536218E-3</v>
      </c>
    </row>
    <row r="83" spans="2:45" hidden="1" outlineLevel="2" x14ac:dyDescent="0.3">
      <c r="B83" s="30" t="s">
        <v>178</v>
      </c>
      <c r="C83" s="31"/>
      <c r="D83" s="31" t="s">
        <v>128</v>
      </c>
      <c r="E83" s="31" t="s">
        <v>179</v>
      </c>
      <c r="AP83" s="2">
        <f t="shared" ref="AP83:AP86" si="31">SUM(F83,I83,L83,O83,R83,U83,X83,AA83,AD83,AG83,AJ83,AM83)</f>
        <v>0</v>
      </c>
      <c r="AS83" s="18">
        <f t="shared" ref="AS83:AS86" si="32">AP83/$AP$4</f>
        <v>0</v>
      </c>
    </row>
    <row r="84" spans="2:45" hidden="1" outlineLevel="2" x14ac:dyDescent="0.3">
      <c r="B84" s="30" t="s">
        <v>180</v>
      </c>
      <c r="C84" s="31"/>
      <c r="D84" s="31" t="s">
        <v>128</v>
      </c>
      <c r="E84" s="31" t="s">
        <v>181</v>
      </c>
      <c r="AP84" s="2">
        <f t="shared" si="31"/>
        <v>0</v>
      </c>
      <c r="AS84" s="18">
        <f t="shared" si="32"/>
        <v>0</v>
      </c>
    </row>
    <row r="85" spans="2:45" hidden="1" outlineLevel="2" x14ac:dyDescent="0.3">
      <c r="B85" s="30" t="s">
        <v>182</v>
      </c>
      <c r="C85" s="31"/>
      <c r="D85" s="31" t="s">
        <v>128</v>
      </c>
      <c r="E85" s="31" t="s">
        <v>183</v>
      </c>
      <c r="F85">
        <v>5</v>
      </c>
      <c r="I85">
        <v>5</v>
      </c>
      <c r="L85">
        <v>5</v>
      </c>
      <c r="O85">
        <v>5</v>
      </c>
      <c r="R85">
        <v>5</v>
      </c>
      <c r="U85">
        <v>5</v>
      </c>
      <c r="X85">
        <v>5</v>
      </c>
      <c r="AA85">
        <v>5</v>
      </c>
      <c r="AD85">
        <v>5</v>
      </c>
      <c r="AG85">
        <v>5</v>
      </c>
      <c r="AJ85">
        <v>5</v>
      </c>
      <c r="AM85">
        <v>5</v>
      </c>
      <c r="AP85" s="2">
        <f t="shared" si="31"/>
        <v>60</v>
      </c>
      <c r="AS85" s="18">
        <f t="shared" si="32"/>
        <v>9.1351134627681092E-4</v>
      </c>
    </row>
    <row r="86" spans="2:45" ht="15" hidden="1" outlineLevel="2" thickBot="1" x14ac:dyDescent="0.35">
      <c r="B86" s="32" t="s">
        <v>184</v>
      </c>
      <c r="C86" s="33"/>
      <c r="D86" s="33" t="s">
        <v>128</v>
      </c>
      <c r="E86" s="33" t="s">
        <v>185</v>
      </c>
      <c r="F86" s="20">
        <v>5</v>
      </c>
      <c r="G86" s="20"/>
      <c r="H86" s="20"/>
      <c r="I86" s="20">
        <v>5</v>
      </c>
      <c r="J86" s="20"/>
      <c r="K86" s="20"/>
      <c r="L86" s="20">
        <v>5</v>
      </c>
      <c r="M86" s="20"/>
      <c r="N86" s="20"/>
      <c r="O86" s="20">
        <v>5</v>
      </c>
      <c r="P86" s="20"/>
      <c r="Q86" s="20"/>
      <c r="R86" s="20">
        <v>5</v>
      </c>
      <c r="S86" s="20"/>
      <c r="T86" s="20"/>
      <c r="U86" s="20">
        <v>5</v>
      </c>
      <c r="V86" s="20"/>
      <c r="W86" s="20"/>
      <c r="X86" s="20">
        <v>5</v>
      </c>
      <c r="Y86" s="20"/>
      <c r="Z86" s="20"/>
      <c r="AA86" s="20">
        <v>5</v>
      </c>
      <c r="AB86" s="20"/>
      <c r="AC86" s="20"/>
      <c r="AD86" s="20">
        <v>5</v>
      </c>
      <c r="AE86" s="20"/>
      <c r="AF86" s="20"/>
      <c r="AG86" s="20">
        <v>5</v>
      </c>
      <c r="AH86" s="20"/>
      <c r="AI86" s="20"/>
      <c r="AJ86" s="20">
        <v>5</v>
      </c>
      <c r="AK86" s="20"/>
      <c r="AL86" s="20"/>
      <c r="AM86" s="20">
        <v>5</v>
      </c>
      <c r="AN86" s="20"/>
      <c r="AO86" s="20"/>
      <c r="AP86" s="22">
        <f t="shared" si="31"/>
        <v>60</v>
      </c>
      <c r="AQ86" s="20"/>
      <c r="AR86" s="20"/>
      <c r="AS86" s="24">
        <f t="shared" si="32"/>
        <v>9.1351134627681092E-4</v>
      </c>
    </row>
    <row r="87" spans="2:45" outlineLevel="1" collapsed="1" x14ac:dyDescent="0.3"/>
    <row r="88" spans="2:45" ht="15" outlineLevel="1" thickBot="1" x14ac:dyDescent="0.35"/>
    <row r="89" spans="2:45" ht="43.2" outlineLevel="1" x14ac:dyDescent="0.3">
      <c r="B89" s="44" t="s">
        <v>186</v>
      </c>
      <c r="C89" s="45"/>
      <c r="D89" s="45"/>
      <c r="E89" s="46"/>
      <c r="F89" s="47">
        <f>'Stock Numbers'!J19</f>
        <v>98.752500000000012</v>
      </c>
      <c r="G89" s="47"/>
      <c r="H89" s="47"/>
      <c r="I89" s="47">
        <f>'Stock Numbers'!J36</f>
        <v>98.505618750000011</v>
      </c>
      <c r="J89" s="47"/>
      <c r="K89" s="47"/>
      <c r="L89" s="47">
        <f>'Stock Numbers'!J53</f>
        <v>98.259354703124998</v>
      </c>
      <c r="M89" s="47"/>
      <c r="N89" s="47"/>
      <c r="O89" s="47">
        <f>'Stock Numbers'!J70</f>
        <v>98.013706316367191</v>
      </c>
      <c r="P89" s="47"/>
      <c r="Q89" s="47"/>
      <c r="R89" s="47">
        <f>'Stock Numbers'!J87</f>
        <v>88.168672050576276</v>
      </c>
      <c r="S89" s="47"/>
      <c r="T89" s="47"/>
      <c r="U89" s="47">
        <f>'Stock Numbers'!J104</f>
        <v>87.948250370449827</v>
      </c>
      <c r="V89" s="47"/>
      <c r="W89" s="47"/>
      <c r="X89" s="47">
        <f>'Stock Numbers'!J121</f>
        <v>109.83757059555182</v>
      </c>
      <c r="Y89" s="47"/>
      <c r="Z89" s="47"/>
      <c r="AA89" s="47">
        <f>'Stock Numbers'!J138</f>
        <v>98.562976669062948</v>
      </c>
      <c r="AB89" s="47"/>
      <c r="AC89" s="47"/>
      <c r="AD89" s="47">
        <f>'Stock Numbers'!J155</f>
        <v>89.816569227390275</v>
      </c>
      <c r="AE89" s="47"/>
      <c r="AF89" s="47"/>
      <c r="AG89" s="47">
        <f>'Stock Numbers'!J172</f>
        <v>94.508214420011356</v>
      </c>
      <c r="AH89" s="47"/>
      <c r="AI89" s="47"/>
      <c r="AJ89" s="47">
        <f>'Stock Numbers'!J189</f>
        <v>99.188130499650896</v>
      </c>
      <c r="AK89" s="47"/>
      <c r="AL89" s="47"/>
      <c r="AM89" s="47">
        <f>'Stock Numbers'!J206</f>
        <v>96.856346789091276</v>
      </c>
      <c r="AN89" s="48"/>
      <c r="AO89" s="48"/>
      <c r="AP89" s="49" t="s">
        <v>187</v>
      </c>
      <c r="AQ89" s="48"/>
      <c r="AR89" s="48"/>
      <c r="AS89" s="50"/>
    </row>
    <row r="90" spans="2:45" ht="18.600000000000001" outlineLevel="1" thickBot="1" x14ac:dyDescent="0.4">
      <c r="B90" s="51" t="s">
        <v>188</v>
      </c>
      <c r="C90" s="52"/>
      <c r="D90" s="52"/>
      <c r="E90" s="53"/>
      <c r="F90" s="54">
        <f>F4/F89</f>
        <v>54.590326827168923</v>
      </c>
      <c r="G90" s="54"/>
      <c r="H90" s="54"/>
      <c r="I90" s="54">
        <f>I4/I89</f>
        <v>44.808377197899681</v>
      </c>
      <c r="J90" s="54"/>
      <c r="K90" s="54"/>
      <c r="L90" s="54">
        <f>L4/L89</f>
        <v>39.545699589791646</v>
      </c>
      <c r="M90" s="54"/>
      <c r="N90" s="54"/>
      <c r="O90" s="54">
        <f>O4/O89</f>
        <v>41.525082059718521</v>
      </c>
      <c r="P90" s="54"/>
      <c r="Q90" s="54"/>
      <c r="R90" s="54">
        <f>R4/R89</f>
        <v>70.950164574799913</v>
      </c>
      <c r="S90" s="54"/>
      <c r="T90" s="54"/>
      <c r="U90" s="54">
        <f>U4/U89</f>
        <v>75.694109879546716</v>
      </c>
      <c r="V90" s="54"/>
      <c r="W90" s="54"/>
      <c r="X90" s="54">
        <f>X4/X89</f>
        <v>42.775768278348018</v>
      </c>
      <c r="Y90" s="54"/>
      <c r="Z90" s="54"/>
      <c r="AA90" s="54">
        <f>AA4/AA89</f>
        <v>59.366290615698709</v>
      </c>
      <c r="AB90" s="54"/>
      <c r="AC90" s="54"/>
      <c r="AD90" s="54">
        <f>AD4/AD89</f>
        <v>75.655926659220924</v>
      </c>
      <c r="AE90" s="54"/>
      <c r="AF90" s="54"/>
      <c r="AG90" s="54">
        <f>AG4/AG89</f>
        <v>65.879935302388262</v>
      </c>
      <c r="AH90" s="54"/>
      <c r="AI90" s="54"/>
      <c r="AJ90" s="54">
        <f>AJ4/AJ89</f>
        <v>61.392848472498613</v>
      </c>
      <c r="AK90" s="54"/>
      <c r="AL90" s="54"/>
      <c r="AM90" s="54">
        <f>AM4/AM89</f>
        <v>55.203559537963386</v>
      </c>
      <c r="AN90" s="20"/>
      <c r="AO90" s="20"/>
      <c r="AP90" s="55">
        <f>AVERAGE(F90,I90,L90,O90,R90,U90,X90,AA90,AD90,AG90,AJ90,AM90)</f>
        <v>57.282340749586943</v>
      </c>
      <c r="AQ90" s="20"/>
      <c r="AR90" s="20"/>
      <c r="AS90" s="56"/>
    </row>
    <row r="91" spans="2:45" ht="15" thickBot="1" x14ac:dyDescent="0.35"/>
    <row r="92" spans="2:45" s="63" customFormat="1" ht="15" thickBot="1" x14ac:dyDescent="0.35">
      <c r="B92" s="57" t="s">
        <v>189</v>
      </c>
      <c r="C92" s="58"/>
      <c r="D92" s="58"/>
      <c r="E92" s="59" t="s">
        <v>190</v>
      </c>
      <c r="F92" s="60">
        <v>1500</v>
      </c>
      <c r="G92" s="60"/>
      <c r="H92" s="60"/>
      <c r="I92" s="60">
        <v>1500</v>
      </c>
      <c r="J92" s="60"/>
      <c r="K92" s="60"/>
      <c r="L92" s="60">
        <v>1500</v>
      </c>
      <c r="M92" s="60"/>
      <c r="N92" s="60"/>
      <c r="O92" s="60">
        <v>1500</v>
      </c>
      <c r="P92" s="60"/>
      <c r="Q92" s="60"/>
      <c r="R92" s="60">
        <v>1500</v>
      </c>
      <c r="S92" s="60"/>
      <c r="T92" s="60"/>
      <c r="U92" s="60">
        <v>1500</v>
      </c>
      <c r="V92" s="60"/>
      <c r="W92" s="60"/>
      <c r="X92" s="60">
        <v>1500</v>
      </c>
      <c r="Y92" s="60"/>
      <c r="Z92" s="60"/>
      <c r="AA92" s="60">
        <v>1500</v>
      </c>
      <c r="AB92" s="60"/>
      <c r="AC92" s="60"/>
      <c r="AD92" s="60">
        <v>1500</v>
      </c>
      <c r="AE92" s="60"/>
      <c r="AF92" s="60"/>
      <c r="AG92" s="60">
        <v>1500</v>
      </c>
      <c r="AH92" s="60"/>
      <c r="AI92" s="60"/>
      <c r="AJ92" s="60">
        <v>1500</v>
      </c>
      <c r="AK92" s="60"/>
      <c r="AL92" s="60"/>
      <c r="AM92" s="60">
        <v>1500</v>
      </c>
      <c r="AN92" s="60"/>
      <c r="AO92" s="60"/>
      <c r="AP92" s="61">
        <f>SUM(F92:AM92)</f>
        <v>18000</v>
      </c>
      <c r="AQ92" s="58"/>
      <c r="AR92" s="58"/>
      <c r="AS92" s="62">
        <f>AP92/$AP$4</f>
        <v>0.27405340388304328</v>
      </c>
    </row>
    <row r="93" spans="2:45" ht="15" thickBot="1" x14ac:dyDescent="0.35">
      <c r="E93" s="64"/>
      <c r="AS93" s="65"/>
    </row>
    <row r="94" spans="2:45" s="63" customFormat="1" ht="15" thickBot="1" x14ac:dyDescent="0.35">
      <c r="B94" s="66"/>
      <c r="C94" s="67"/>
      <c r="D94" s="67"/>
      <c r="E94" s="68" t="s">
        <v>191</v>
      </c>
      <c r="F94" s="60">
        <f t="shared" ref="F94:AM94" si="33">SUM(F96,F108,F118,F123,F129,F138,F144)</f>
        <v>0</v>
      </c>
      <c r="G94" s="60">
        <f t="shared" si="33"/>
        <v>0</v>
      </c>
      <c r="H94" s="60">
        <f t="shared" si="33"/>
        <v>0</v>
      </c>
      <c r="I94" s="60">
        <f t="shared" si="33"/>
        <v>0</v>
      </c>
      <c r="J94" s="60">
        <f t="shared" si="33"/>
        <v>0</v>
      </c>
      <c r="K94" s="60">
        <f t="shared" si="33"/>
        <v>0</v>
      </c>
      <c r="L94" s="60">
        <f t="shared" si="33"/>
        <v>0</v>
      </c>
      <c r="M94" s="60">
        <f t="shared" si="33"/>
        <v>0</v>
      </c>
      <c r="N94" s="60">
        <f t="shared" si="33"/>
        <v>0</v>
      </c>
      <c r="O94" s="60">
        <f t="shared" si="33"/>
        <v>0</v>
      </c>
      <c r="P94" s="60">
        <f t="shared" si="33"/>
        <v>0</v>
      </c>
      <c r="Q94" s="60">
        <f t="shared" si="33"/>
        <v>0</v>
      </c>
      <c r="R94" s="60">
        <f t="shared" si="33"/>
        <v>0</v>
      </c>
      <c r="S94" s="60">
        <f t="shared" si="33"/>
        <v>0</v>
      </c>
      <c r="T94" s="60">
        <f t="shared" si="33"/>
        <v>0</v>
      </c>
      <c r="U94" s="60">
        <f t="shared" si="33"/>
        <v>0</v>
      </c>
      <c r="V94" s="60">
        <f t="shared" si="33"/>
        <v>0</v>
      </c>
      <c r="W94" s="60">
        <f t="shared" si="33"/>
        <v>0</v>
      </c>
      <c r="X94" s="60">
        <f t="shared" si="33"/>
        <v>0</v>
      </c>
      <c r="Y94" s="60">
        <f t="shared" si="33"/>
        <v>0</v>
      </c>
      <c r="Z94" s="60">
        <f t="shared" si="33"/>
        <v>0</v>
      </c>
      <c r="AA94" s="60">
        <f t="shared" si="33"/>
        <v>0</v>
      </c>
      <c r="AB94" s="60">
        <f t="shared" si="33"/>
        <v>0</v>
      </c>
      <c r="AC94" s="60">
        <f t="shared" si="33"/>
        <v>0</v>
      </c>
      <c r="AD94" s="60">
        <f t="shared" si="33"/>
        <v>0</v>
      </c>
      <c r="AE94" s="60">
        <f t="shared" si="33"/>
        <v>0</v>
      </c>
      <c r="AF94" s="60">
        <f t="shared" si="33"/>
        <v>0</v>
      </c>
      <c r="AG94" s="60">
        <f t="shared" si="33"/>
        <v>0</v>
      </c>
      <c r="AH94" s="60">
        <f t="shared" si="33"/>
        <v>0</v>
      </c>
      <c r="AI94" s="60">
        <f t="shared" si="33"/>
        <v>0</v>
      </c>
      <c r="AJ94" s="60">
        <f t="shared" si="33"/>
        <v>0</v>
      </c>
      <c r="AK94" s="60">
        <f t="shared" si="33"/>
        <v>0</v>
      </c>
      <c r="AL94" s="60">
        <f t="shared" si="33"/>
        <v>0</v>
      </c>
      <c r="AM94" s="60">
        <f t="shared" si="33"/>
        <v>0</v>
      </c>
      <c r="AN94" s="60"/>
      <c r="AO94" s="60"/>
      <c r="AP94" s="69">
        <f>SUM(F94,I94,L94,O94,R94,U94,X94,AA94,AD94,AG94,AJ94,AM94)</f>
        <v>0</v>
      </c>
      <c r="AQ94" s="67"/>
      <c r="AR94" s="67"/>
      <c r="AS94" s="70" t="e">
        <f>AP94/$AP$94</f>
        <v>#DIV/0!</v>
      </c>
    </row>
    <row r="95" spans="2:45" x14ac:dyDescent="0.3">
      <c r="E95" s="64"/>
      <c r="AS95" s="65"/>
    </row>
    <row r="96" spans="2:45" ht="15" hidden="1" outlineLevel="1" thickBot="1" x14ac:dyDescent="0.35">
      <c r="B96" s="71"/>
      <c r="C96" s="72"/>
      <c r="D96" s="72"/>
      <c r="E96" s="73" t="s">
        <v>192</v>
      </c>
      <c r="F96" s="7">
        <f>SUM(F97:F106)</f>
        <v>0</v>
      </c>
      <c r="G96" s="7">
        <f t="shared" ref="G96:AO96" si="34">SUM(G97:G106)</f>
        <v>0</v>
      </c>
      <c r="H96" s="7">
        <f t="shared" si="34"/>
        <v>0</v>
      </c>
      <c r="I96" s="7">
        <f t="shared" si="34"/>
        <v>0</v>
      </c>
      <c r="J96" s="7">
        <f t="shared" si="34"/>
        <v>0</v>
      </c>
      <c r="K96" s="7">
        <f t="shared" si="34"/>
        <v>0</v>
      </c>
      <c r="L96" s="7">
        <f t="shared" si="34"/>
        <v>0</v>
      </c>
      <c r="M96" s="7">
        <f t="shared" si="34"/>
        <v>0</v>
      </c>
      <c r="N96" s="7">
        <f t="shared" si="34"/>
        <v>0</v>
      </c>
      <c r="O96" s="7">
        <f t="shared" si="34"/>
        <v>0</v>
      </c>
      <c r="P96" s="7">
        <f t="shared" si="34"/>
        <v>0</v>
      </c>
      <c r="Q96" s="7">
        <f t="shared" si="34"/>
        <v>0</v>
      </c>
      <c r="R96" s="7">
        <f t="shared" si="34"/>
        <v>0</v>
      </c>
      <c r="S96" s="7">
        <f t="shared" si="34"/>
        <v>0</v>
      </c>
      <c r="T96" s="7">
        <f t="shared" si="34"/>
        <v>0</v>
      </c>
      <c r="U96" s="7">
        <f t="shared" si="34"/>
        <v>0</v>
      </c>
      <c r="V96" s="7">
        <f t="shared" si="34"/>
        <v>0</v>
      </c>
      <c r="W96" s="7">
        <f t="shared" si="34"/>
        <v>0</v>
      </c>
      <c r="X96" s="7">
        <f t="shared" si="34"/>
        <v>0</v>
      </c>
      <c r="Y96" s="7">
        <f t="shared" si="34"/>
        <v>0</v>
      </c>
      <c r="Z96" s="7">
        <f t="shared" si="34"/>
        <v>0</v>
      </c>
      <c r="AA96" s="7">
        <f t="shared" si="34"/>
        <v>0</v>
      </c>
      <c r="AB96" s="7">
        <f t="shared" si="34"/>
        <v>0</v>
      </c>
      <c r="AC96" s="7">
        <f t="shared" si="34"/>
        <v>0</v>
      </c>
      <c r="AD96" s="7">
        <f t="shared" si="34"/>
        <v>0</v>
      </c>
      <c r="AE96" s="7">
        <f t="shared" si="34"/>
        <v>0</v>
      </c>
      <c r="AF96" s="7">
        <f t="shared" si="34"/>
        <v>0</v>
      </c>
      <c r="AG96" s="7">
        <f t="shared" si="34"/>
        <v>0</v>
      </c>
      <c r="AH96" s="7">
        <f t="shared" si="34"/>
        <v>0</v>
      </c>
      <c r="AI96" s="7">
        <f t="shared" si="34"/>
        <v>0</v>
      </c>
      <c r="AJ96" s="7">
        <f t="shared" si="34"/>
        <v>0</v>
      </c>
      <c r="AK96" s="7">
        <f t="shared" si="34"/>
        <v>0</v>
      </c>
      <c r="AL96" s="7">
        <f t="shared" si="34"/>
        <v>0</v>
      </c>
      <c r="AM96" s="7">
        <f t="shared" si="34"/>
        <v>0</v>
      </c>
      <c r="AN96" s="7">
        <f t="shared" si="34"/>
        <v>0</v>
      </c>
      <c r="AO96" s="7">
        <f t="shared" si="34"/>
        <v>0</v>
      </c>
      <c r="AP96" s="74">
        <f>SUM(F96,I96,L96,O96,R96,U96,X96,AA96,AD96,AG96,AJ96,AM96)</f>
        <v>0</v>
      </c>
      <c r="AQ96" s="7"/>
      <c r="AR96" s="7"/>
      <c r="AS96" s="75" t="e">
        <f>AP96/$AP$94</f>
        <v>#DIV/0!</v>
      </c>
    </row>
    <row r="97" spans="2:45" hidden="1" outlineLevel="2" x14ac:dyDescent="0.3">
      <c r="B97" s="76" t="s">
        <v>193</v>
      </c>
      <c r="C97" s="31"/>
      <c r="D97" s="31"/>
      <c r="E97" s="31" t="s">
        <v>129</v>
      </c>
    </row>
    <row r="98" spans="2:45" hidden="1" outlineLevel="2" x14ac:dyDescent="0.3">
      <c r="B98" s="76" t="s">
        <v>194</v>
      </c>
      <c r="C98" s="31"/>
      <c r="D98" s="31"/>
      <c r="E98" s="31" t="s">
        <v>131</v>
      </c>
    </row>
    <row r="99" spans="2:45" hidden="1" outlineLevel="2" x14ac:dyDescent="0.3">
      <c r="B99" s="76" t="s">
        <v>195</v>
      </c>
      <c r="C99" s="31"/>
      <c r="D99" s="31"/>
      <c r="E99" s="31" t="s">
        <v>133</v>
      </c>
    </row>
    <row r="100" spans="2:45" hidden="1" outlineLevel="2" x14ac:dyDescent="0.3">
      <c r="B100" s="76" t="s">
        <v>196</v>
      </c>
      <c r="C100" s="31"/>
      <c r="D100" s="31"/>
      <c r="E100" s="31" t="s">
        <v>135</v>
      </c>
    </row>
    <row r="101" spans="2:45" hidden="1" outlineLevel="2" x14ac:dyDescent="0.3">
      <c r="B101" s="76" t="s">
        <v>197</v>
      </c>
      <c r="C101" s="31"/>
      <c r="D101" s="31"/>
      <c r="E101" s="31" t="s">
        <v>137</v>
      </c>
    </row>
    <row r="102" spans="2:45" hidden="1" outlineLevel="2" x14ac:dyDescent="0.3">
      <c r="B102" s="76" t="s">
        <v>198</v>
      </c>
      <c r="C102" s="31"/>
      <c r="D102" s="31"/>
      <c r="E102" s="31" t="s">
        <v>139</v>
      </c>
    </row>
    <row r="103" spans="2:45" hidden="1" outlineLevel="2" x14ac:dyDescent="0.3">
      <c r="B103" s="76" t="s">
        <v>199</v>
      </c>
      <c r="C103" s="31"/>
      <c r="D103" s="31"/>
      <c r="E103" s="31" t="s">
        <v>141</v>
      </c>
    </row>
    <row r="104" spans="2:45" hidden="1" outlineLevel="2" x14ac:dyDescent="0.3">
      <c r="B104" s="76" t="s">
        <v>200</v>
      </c>
      <c r="C104" s="31" t="s">
        <v>201</v>
      </c>
      <c r="D104" s="31"/>
      <c r="E104" s="31" t="s">
        <v>143</v>
      </c>
    </row>
    <row r="105" spans="2:45" hidden="1" outlineLevel="2" x14ac:dyDescent="0.3">
      <c r="B105" s="76" t="s">
        <v>202</v>
      </c>
      <c r="C105" s="31"/>
      <c r="D105" s="31"/>
      <c r="E105" s="31" t="s">
        <v>145</v>
      </c>
    </row>
    <row r="106" spans="2:45" hidden="1" outlineLevel="2" x14ac:dyDescent="0.3">
      <c r="B106" s="77" t="s">
        <v>203</v>
      </c>
      <c r="C106" s="77"/>
      <c r="D106" s="77"/>
      <c r="E106" s="78" t="s">
        <v>204</v>
      </c>
    </row>
    <row r="107" spans="2:45" ht="15" hidden="1" outlineLevel="1" thickBot="1" x14ac:dyDescent="0.35">
      <c r="B107" s="31"/>
      <c r="C107" s="31"/>
      <c r="D107" s="31"/>
      <c r="E107" s="31"/>
    </row>
    <row r="108" spans="2:45" ht="15" hidden="1" outlineLevel="1" thickBot="1" x14ac:dyDescent="0.35">
      <c r="B108" s="71" t="s">
        <v>205</v>
      </c>
      <c r="C108" s="72"/>
      <c r="D108" s="72"/>
      <c r="E108" s="73" t="s">
        <v>206</v>
      </c>
      <c r="F108" s="7">
        <f>SUM(F109:F116)</f>
        <v>0</v>
      </c>
      <c r="G108" s="7">
        <f t="shared" ref="G108:AM108" si="35">SUM(G109:G116)</f>
        <v>0</v>
      </c>
      <c r="H108" s="7">
        <f t="shared" si="35"/>
        <v>0</v>
      </c>
      <c r="I108" s="7">
        <f t="shared" si="35"/>
        <v>0</v>
      </c>
      <c r="J108" s="7">
        <f t="shared" si="35"/>
        <v>0</v>
      </c>
      <c r="K108" s="7">
        <f t="shared" si="35"/>
        <v>0</v>
      </c>
      <c r="L108" s="7">
        <f t="shared" si="35"/>
        <v>0</v>
      </c>
      <c r="M108" s="7">
        <f t="shared" si="35"/>
        <v>0</v>
      </c>
      <c r="N108" s="7">
        <f t="shared" si="35"/>
        <v>0</v>
      </c>
      <c r="O108" s="7">
        <f t="shared" si="35"/>
        <v>0</v>
      </c>
      <c r="P108" s="7">
        <f t="shared" si="35"/>
        <v>0</v>
      </c>
      <c r="Q108" s="7">
        <f t="shared" si="35"/>
        <v>0</v>
      </c>
      <c r="R108" s="7">
        <f t="shared" si="35"/>
        <v>0</v>
      </c>
      <c r="S108" s="7">
        <f t="shared" si="35"/>
        <v>0</v>
      </c>
      <c r="T108" s="7">
        <f t="shared" si="35"/>
        <v>0</v>
      </c>
      <c r="U108" s="7">
        <f t="shared" si="35"/>
        <v>0</v>
      </c>
      <c r="V108" s="7">
        <f t="shared" si="35"/>
        <v>0</v>
      </c>
      <c r="W108" s="7">
        <f t="shared" si="35"/>
        <v>0</v>
      </c>
      <c r="X108" s="7">
        <f t="shared" si="35"/>
        <v>0</v>
      </c>
      <c r="Y108" s="7">
        <f t="shared" si="35"/>
        <v>0</v>
      </c>
      <c r="Z108" s="7">
        <f t="shared" si="35"/>
        <v>0</v>
      </c>
      <c r="AA108" s="7">
        <f t="shared" si="35"/>
        <v>0</v>
      </c>
      <c r="AB108" s="7">
        <f t="shared" si="35"/>
        <v>0</v>
      </c>
      <c r="AC108" s="7">
        <f t="shared" si="35"/>
        <v>0</v>
      </c>
      <c r="AD108" s="7">
        <f t="shared" si="35"/>
        <v>0</v>
      </c>
      <c r="AE108" s="7">
        <f t="shared" si="35"/>
        <v>0</v>
      </c>
      <c r="AF108" s="7">
        <f t="shared" si="35"/>
        <v>0</v>
      </c>
      <c r="AG108" s="7">
        <f t="shared" si="35"/>
        <v>0</v>
      </c>
      <c r="AH108" s="7">
        <f t="shared" si="35"/>
        <v>0</v>
      </c>
      <c r="AI108" s="7">
        <f t="shared" si="35"/>
        <v>0</v>
      </c>
      <c r="AJ108" s="7">
        <f t="shared" si="35"/>
        <v>0</v>
      </c>
      <c r="AK108" s="7">
        <f t="shared" si="35"/>
        <v>0</v>
      </c>
      <c r="AL108" s="7">
        <f t="shared" si="35"/>
        <v>0</v>
      </c>
      <c r="AM108" s="7">
        <f t="shared" si="35"/>
        <v>0</v>
      </c>
      <c r="AN108" s="7"/>
      <c r="AO108" s="7"/>
      <c r="AP108" s="74">
        <f>SUM(F108,I108,L108,O108,R108,U108,X108,AA108,AD108,AG108,AJ108,AM108)</f>
        <v>0</v>
      </c>
      <c r="AQ108" s="7"/>
      <c r="AR108" s="7"/>
      <c r="AS108" s="75" t="e">
        <f>AP108/$AP$94</f>
        <v>#DIV/0!</v>
      </c>
    </row>
    <row r="109" spans="2:45" hidden="1" outlineLevel="2" x14ac:dyDescent="0.3">
      <c r="B109" s="31" t="s">
        <v>207</v>
      </c>
      <c r="C109" s="31"/>
      <c r="D109" s="31"/>
      <c r="E109" s="31" t="s">
        <v>208</v>
      </c>
    </row>
    <row r="110" spans="2:45" hidden="1" outlineLevel="2" x14ac:dyDescent="0.3">
      <c r="B110" s="78"/>
      <c r="C110" s="31"/>
      <c r="D110" s="31"/>
      <c r="E110" s="31" t="s">
        <v>209</v>
      </c>
    </row>
    <row r="111" spans="2:45" hidden="1" outlineLevel="2" x14ac:dyDescent="0.3">
      <c r="B111" s="31" t="s">
        <v>210</v>
      </c>
      <c r="C111" s="31"/>
      <c r="D111" s="31"/>
      <c r="E111" s="31" t="s">
        <v>211</v>
      </c>
    </row>
    <row r="112" spans="2:45" hidden="1" outlineLevel="2" x14ac:dyDescent="0.3">
      <c r="B112" s="78"/>
      <c r="C112" s="31"/>
      <c r="D112" s="31"/>
      <c r="E112" s="31" t="s">
        <v>212</v>
      </c>
    </row>
    <row r="113" spans="2:45" hidden="1" outlineLevel="2" x14ac:dyDescent="0.3">
      <c r="B113" s="78"/>
      <c r="C113" s="31"/>
      <c r="D113" s="31"/>
      <c r="E113" s="31" t="s">
        <v>213</v>
      </c>
    </row>
    <row r="114" spans="2:45" hidden="1" outlineLevel="2" x14ac:dyDescent="0.3">
      <c r="B114" s="78"/>
      <c r="C114" s="31"/>
      <c r="D114" s="31"/>
      <c r="E114" s="31" t="s">
        <v>214</v>
      </c>
    </row>
    <row r="115" spans="2:45" hidden="1" outlineLevel="2" x14ac:dyDescent="0.3">
      <c r="B115" s="31" t="s">
        <v>215</v>
      </c>
      <c r="C115" s="31"/>
      <c r="D115" s="31"/>
      <c r="E115" s="31" t="s">
        <v>216</v>
      </c>
    </row>
    <row r="116" spans="2:45" hidden="1" outlineLevel="2" x14ac:dyDescent="0.3">
      <c r="B116" s="78"/>
      <c r="C116" s="31"/>
      <c r="D116" s="31"/>
      <c r="E116" s="31" t="s">
        <v>217</v>
      </c>
    </row>
    <row r="117" spans="2:45" ht="15" hidden="1" outlineLevel="1" thickBot="1" x14ac:dyDescent="0.35">
      <c r="B117" s="31"/>
      <c r="C117" s="31"/>
      <c r="D117" s="31"/>
      <c r="E117" s="31"/>
    </row>
    <row r="118" spans="2:45" ht="15" hidden="1" outlineLevel="1" thickBot="1" x14ac:dyDescent="0.35">
      <c r="B118" s="79"/>
      <c r="C118" s="80"/>
      <c r="D118" s="80"/>
      <c r="E118" s="73" t="s">
        <v>218</v>
      </c>
      <c r="F118" s="7">
        <f>SUM(F119:F121)</f>
        <v>0</v>
      </c>
      <c r="G118" s="7">
        <f t="shared" ref="G118:AM118" si="36">SUM(G119:G121)</f>
        <v>0</v>
      </c>
      <c r="H118" s="7">
        <f t="shared" si="36"/>
        <v>0</v>
      </c>
      <c r="I118" s="7">
        <f t="shared" si="36"/>
        <v>0</v>
      </c>
      <c r="J118" s="7">
        <f t="shared" si="36"/>
        <v>0</v>
      </c>
      <c r="K118" s="7">
        <f t="shared" si="36"/>
        <v>0</v>
      </c>
      <c r="L118" s="7">
        <f t="shared" si="36"/>
        <v>0</v>
      </c>
      <c r="M118" s="7">
        <f t="shared" si="36"/>
        <v>0</v>
      </c>
      <c r="N118" s="7">
        <f t="shared" si="36"/>
        <v>0</v>
      </c>
      <c r="O118" s="7">
        <f t="shared" si="36"/>
        <v>0</v>
      </c>
      <c r="P118" s="7">
        <f t="shared" si="36"/>
        <v>0</v>
      </c>
      <c r="Q118" s="7">
        <f t="shared" si="36"/>
        <v>0</v>
      </c>
      <c r="R118" s="7">
        <f t="shared" si="36"/>
        <v>0</v>
      </c>
      <c r="S118" s="7">
        <f t="shared" si="36"/>
        <v>0</v>
      </c>
      <c r="T118" s="7">
        <f t="shared" si="36"/>
        <v>0</v>
      </c>
      <c r="U118" s="7">
        <f t="shared" si="36"/>
        <v>0</v>
      </c>
      <c r="V118" s="7">
        <f t="shared" si="36"/>
        <v>0</v>
      </c>
      <c r="W118" s="7">
        <f t="shared" si="36"/>
        <v>0</v>
      </c>
      <c r="X118" s="7">
        <f t="shared" si="36"/>
        <v>0</v>
      </c>
      <c r="Y118" s="7">
        <f t="shared" si="36"/>
        <v>0</v>
      </c>
      <c r="Z118" s="7">
        <f t="shared" si="36"/>
        <v>0</v>
      </c>
      <c r="AA118" s="7">
        <f t="shared" si="36"/>
        <v>0</v>
      </c>
      <c r="AB118" s="7">
        <f t="shared" si="36"/>
        <v>0</v>
      </c>
      <c r="AC118" s="7">
        <f t="shared" si="36"/>
        <v>0</v>
      </c>
      <c r="AD118" s="7">
        <f t="shared" si="36"/>
        <v>0</v>
      </c>
      <c r="AE118" s="7">
        <f t="shared" si="36"/>
        <v>0</v>
      </c>
      <c r="AF118" s="7">
        <f t="shared" si="36"/>
        <v>0</v>
      </c>
      <c r="AG118" s="7">
        <f t="shared" si="36"/>
        <v>0</v>
      </c>
      <c r="AH118" s="7">
        <f t="shared" si="36"/>
        <v>0</v>
      </c>
      <c r="AI118" s="7">
        <f t="shared" si="36"/>
        <v>0</v>
      </c>
      <c r="AJ118" s="7">
        <f t="shared" si="36"/>
        <v>0</v>
      </c>
      <c r="AK118" s="7">
        <f t="shared" si="36"/>
        <v>0</v>
      </c>
      <c r="AL118" s="7">
        <f t="shared" si="36"/>
        <v>0</v>
      </c>
      <c r="AM118" s="7">
        <f t="shared" si="36"/>
        <v>0</v>
      </c>
      <c r="AN118" s="7"/>
      <c r="AO118" s="7"/>
      <c r="AP118" s="74">
        <f>SUM(F118,I118,L118,O118,R118,U118,X118,AA118,AD118,AG118,AJ118,AM118)</f>
        <v>0</v>
      </c>
      <c r="AQ118" s="7"/>
      <c r="AR118" s="7"/>
      <c r="AS118" s="75" t="e">
        <f>AP118/$AP$94</f>
        <v>#DIV/0!</v>
      </c>
    </row>
    <row r="119" spans="2:45" hidden="1" outlineLevel="2" x14ac:dyDescent="0.3">
      <c r="B119" s="31" t="s">
        <v>219</v>
      </c>
      <c r="C119" s="31"/>
      <c r="D119" s="31"/>
      <c r="E119" s="31" t="s">
        <v>220</v>
      </c>
    </row>
    <row r="120" spans="2:45" hidden="1" outlineLevel="2" x14ac:dyDescent="0.3">
      <c r="B120" s="31" t="s">
        <v>221</v>
      </c>
      <c r="C120" s="31"/>
      <c r="D120" s="31"/>
      <c r="E120" s="31" t="s">
        <v>222</v>
      </c>
    </row>
    <row r="121" spans="2:45" hidden="1" outlineLevel="2" x14ac:dyDescent="0.3">
      <c r="B121" s="31" t="s">
        <v>223</v>
      </c>
      <c r="C121" s="31"/>
      <c r="D121" s="31"/>
      <c r="E121" s="31" t="s">
        <v>224</v>
      </c>
    </row>
    <row r="122" spans="2:45" ht="15" hidden="1" outlineLevel="1" thickBot="1" x14ac:dyDescent="0.35"/>
    <row r="123" spans="2:45" ht="15" hidden="1" outlineLevel="1" thickBot="1" x14ac:dyDescent="0.35">
      <c r="B123" s="81"/>
      <c r="C123" s="80"/>
      <c r="D123" s="80"/>
      <c r="E123" s="73" t="s">
        <v>225</v>
      </c>
      <c r="F123" s="7">
        <f>SUM(F124:F127)</f>
        <v>0</v>
      </c>
      <c r="G123" s="7">
        <f t="shared" ref="G123:AO123" si="37">SUM(G124:G127)</f>
        <v>0</v>
      </c>
      <c r="H123" s="7">
        <f t="shared" si="37"/>
        <v>0</v>
      </c>
      <c r="I123" s="7">
        <f t="shared" si="37"/>
        <v>0</v>
      </c>
      <c r="J123" s="7">
        <f t="shared" si="37"/>
        <v>0</v>
      </c>
      <c r="K123" s="7">
        <f t="shared" si="37"/>
        <v>0</v>
      </c>
      <c r="L123" s="7">
        <f t="shared" si="37"/>
        <v>0</v>
      </c>
      <c r="M123" s="7">
        <f t="shared" si="37"/>
        <v>0</v>
      </c>
      <c r="N123" s="7">
        <f t="shared" si="37"/>
        <v>0</v>
      </c>
      <c r="O123" s="7">
        <f t="shared" si="37"/>
        <v>0</v>
      </c>
      <c r="P123" s="7">
        <f t="shared" si="37"/>
        <v>0</v>
      </c>
      <c r="Q123" s="7">
        <f t="shared" si="37"/>
        <v>0</v>
      </c>
      <c r="R123" s="7">
        <f t="shared" si="37"/>
        <v>0</v>
      </c>
      <c r="S123" s="7">
        <f t="shared" si="37"/>
        <v>0</v>
      </c>
      <c r="T123" s="7">
        <f t="shared" si="37"/>
        <v>0</v>
      </c>
      <c r="U123" s="7">
        <f t="shared" si="37"/>
        <v>0</v>
      </c>
      <c r="V123" s="7">
        <f t="shared" si="37"/>
        <v>0</v>
      </c>
      <c r="W123" s="7">
        <f t="shared" si="37"/>
        <v>0</v>
      </c>
      <c r="X123" s="7">
        <f t="shared" si="37"/>
        <v>0</v>
      </c>
      <c r="Y123" s="7">
        <f t="shared" si="37"/>
        <v>0</v>
      </c>
      <c r="Z123" s="7">
        <f t="shared" si="37"/>
        <v>0</v>
      </c>
      <c r="AA123" s="7">
        <f t="shared" si="37"/>
        <v>0</v>
      </c>
      <c r="AB123" s="7">
        <f t="shared" si="37"/>
        <v>0</v>
      </c>
      <c r="AC123" s="7">
        <f t="shared" si="37"/>
        <v>0</v>
      </c>
      <c r="AD123" s="7">
        <f t="shared" si="37"/>
        <v>0</v>
      </c>
      <c r="AE123" s="7">
        <f t="shared" si="37"/>
        <v>0</v>
      </c>
      <c r="AF123" s="7">
        <f t="shared" si="37"/>
        <v>0</v>
      </c>
      <c r="AG123" s="7">
        <f t="shared" si="37"/>
        <v>0</v>
      </c>
      <c r="AH123" s="7">
        <f t="shared" si="37"/>
        <v>0</v>
      </c>
      <c r="AI123" s="7">
        <f t="shared" si="37"/>
        <v>0</v>
      </c>
      <c r="AJ123" s="7">
        <f t="shared" si="37"/>
        <v>0</v>
      </c>
      <c r="AK123" s="7">
        <f t="shared" si="37"/>
        <v>0</v>
      </c>
      <c r="AL123" s="7">
        <f t="shared" si="37"/>
        <v>0</v>
      </c>
      <c r="AM123" s="7">
        <f t="shared" si="37"/>
        <v>0</v>
      </c>
      <c r="AN123" s="7">
        <f t="shared" si="37"/>
        <v>0</v>
      </c>
      <c r="AO123" s="7">
        <f t="shared" si="37"/>
        <v>0</v>
      </c>
      <c r="AP123" s="74">
        <f>SUM(F123,I123,L123,O123,R123,U123,X123,AA123,AD123,AG123,AJ123,AM123)</f>
        <v>0</v>
      </c>
      <c r="AQ123" s="7"/>
      <c r="AR123" s="7"/>
      <c r="AS123" s="75" t="e">
        <f>AP123/$AP$94</f>
        <v>#DIV/0!</v>
      </c>
    </row>
    <row r="124" spans="2:45" hidden="1" outlineLevel="2" x14ac:dyDescent="0.3">
      <c r="B124" s="31" t="s">
        <v>153</v>
      </c>
      <c r="C124" s="31"/>
      <c r="D124" s="31"/>
      <c r="E124" s="31" t="s">
        <v>226</v>
      </c>
    </row>
    <row r="125" spans="2:45" hidden="1" outlineLevel="2" x14ac:dyDescent="0.3">
      <c r="B125" s="78"/>
      <c r="C125" s="31"/>
      <c r="D125" s="31"/>
      <c r="E125" s="31" t="s">
        <v>227</v>
      </c>
    </row>
    <row r="126" spans="2:45" hidden="1" outlineLevel="2" x14ac:dyDescent="0.3">
      <c r="B126" s="78"/>
      <c r="C126" s="31"/>
      <c r="D126" s="31"/>
      <c r="E126" s="31" t="s">
        <v>228</v>
      </c>
    </row>
    <row r="127" spans="2:45" hidden="1" outlineLevel="2" x14ac:dyDescent="0.3">
      <c r="B127" s="31" t="s">
        <v>160</v>
      </c>
      <c r="C127" s="31"/>
      <c r="D127" s="31"/>
      <c r="E127" s="31" t="s">
        <v>161</v>
      </c>
    </row>
    <row r="128" spans="2:45" ht="15" hidden="1" outlineLevel="1" thickBot="1" x14ac:dyDescent="0.35">
      <c r="B128" s="31"/>
      <c r="C128" s="31"/>
      <c r="D128" s="31"/>
      <c r="E128" s="31"/>
    </row>
    <row r="129" spans="2:45" ht="15" hidden="1" outlineLevel="1" thickBot="1" x14ac:dyDescent="0.35">
      <c r="B129" s="81"/>
      <c r="C129" s="80"/>
      <c r="D129" s="80"/>
      <c r="E129" s="73" t="s">
        <v>229</v>
      </c>
      <c r="F129" s="7">
        <f>SUM(F130:F136)</f>
        <v>0</v>
      </c>
      <c r="G129" s="7">
        <f t="shared" ref="G129:AM129" si="38">SUM(G130:G136)</f>
        <v>0</v>
      </c>
      <c r="H129" s="7">
        <f t="shared" si="38"/>
        <v>0</v>
      </c>
      <c r="I129" s="7">
        <f t="shared" si="38"/>
        <v>0</v>
      </c>
      <c r="J129" s="7">
        <f t="shared" si="38"/>
        <v>0</v>
      </c>
      <c r="K129" s="7">
        <f t="shared" si="38"/>
        <v>0</v>
      </c>
      <c r="L129" s="7">
        <f t="shared" si="38"/>
        <v>0</v>
      </c>
      <c r="M129" s="7">
        <f t="shared" si="38"/>
        <v>0</v>
      </c>
      <c r="N129" s="7">
        <f t="shared" si="38"/>
        <v>0</v>
      </c>
      <c r="O129" s="7">
        <f t="shared" si="38"/>
        <v>0</v>
      </c>
      <c r="P129" s="7">
        <f t="shared" si="38"/>
        <v>0</v>
      </c>
      <c r="Q129" s="7">
        <f t="shared" si="38"/>
        <v>0</v>
      </c>
      <c r="R129" s="7">
        <f t="shared" si="38"/>
        <v>0</v>
      </c>
      <c r="S129" s="7">
        <f t="shared" si="38"/>
        <v>0</v>
      </c>
      <c r="T129" s="7">
        <f t="shared" si="38"/>
        <v>0</v>
      </c>
      <c r="U129" s="7">
        <f t="shared" si="38"/>
        <v>0</v>
      </c>
      <c r="V129" s="7">
        <f t="shared" si="38"/>
        <v>0</v>
      </c>
      <c r="W129" s="7">
        <f t="shared" si="38"/>
        <v>0</v>
      </c>
      <c r="X129" s="7">
        <f t="shared" si="38"/>
        <v>0</v>
      </c>
      <c r="Y129" s="7">
        <f t="shared" si="38"/>
        <v>0</v>
      </c>
      <c r="Z129" s="7">
        <f t="shared" si="38"/>
        <v>0</v>
      </c>
      <c r="AA129" s="7">
        <f t="shared" si="38"/>
        <v>0</v>
      </c>
      <c r="AB129" s="7">
        <f t="shared" si="38"/>
        <v>0</v>
      </c>
      <c r="AC129" s="7">
        <f t="shared" si="38"/>
        <v>0</v>
      </c>
      <c r="AD129" s="7">
        <f t="shared" si="38"/>
        <v>0</v>
      </c>
      <c r="AE129" s="7">
        <f t="shared" si="38"/>
        <v>0</v>
      </c>
      <c r="AF129" s="7">
        <f t="shared" si="38"/>
        <v>0</v>
      </c>
      <c r="AG129" s="7">
        <f t="shared" si="38"/>
        <v>0</v>
      </c>
      <c r="AH129" s="7">
        <f t="shared" si="38"/>
        <v>0</v>
      </c>
      <c r="AI129" s="7">
        <f t="shared" si="38"/>
        <v>0</v>
      </c>
      <c r="AJ129" s="7">
        <f t="shared" si="38"/>
        <v>0</v>
      </c>
      <c r="AK129" s="7">
        <f t="shared" si="38"/>
        <v>0</v>
      </c>
      <c r="AL129" s="7">
        <f t="shared" si="38"/>
        <v>0</v>
      </c>
      <c r="AM129" s="7">
        <f t="shared" si="38"/>
        <v>0</v>
      </c>
      <c r="AN129" s="7"/>
      <c r="AO129" s="7"/>
      <c r="AP129" s="74">
        <f>SUM(F129,I129,L129,O129,R129,U129,X129,AA129,AD129,AG129,AJ129,AM129)</f>
        <v>0</v>
      </c>
      <c r="AQ129" s="7"/>
      <c r="AR129" s="7"/>
      <c r="AS129" s="75" t="e">
        <f>AP129/$AP$94</f>
        <v>#DIV/0!</v>
      </c>
    </row>
    <row r="130" spans="2:45" hidden="1" outlineLevel="2" x14ac:dyDescent="0.3">
      <c r="B130" s="31" t="s">
        <v>230</v>
      </c>
      <c r="C130" s="31"/>
      <c r="D130" s="31"/>
      <c r="E130" s="31" t="s">
        <v>231</v>
      </c>
    </row>
    <row r="131" spans="2:45" hidden="1" outlineLevel="2" x14ac:dyDescent="0.3">
      <c r="B131" s="31" t="s">
        <v>162</v>
      </c>
      <c r="C131" s="31"/>
      <c r="D131" s="31"/>
      <c r="E131" s="31" t="s">
        <v>163</v>
      </c>
    </row>
    <row r="132" spans="2:45" hidden="1" outlineLevel="2" x14ac:dyDescent="0.3">
      <c r="B132" s="31" t="s">
        <v>164</v>
      </c>
      <c r="C132" s="31"/>
      <c r="D132" s="31"/>
      <c r="E132" s="31" t="s">
        <v>165</v>
      </c>
    </row>
    <row r="133" spans="2:45" hidden="1" outlineLevel="2" x14ac:dyDescent="0.3">
      <c r="B133" s="31" t="s">
        <v>166</v>
      </c>
      <c r="C133" s="31"/>
      <c r="D133" s="31"/>
      <c r="E133" s="31" t="s">
        <v>167</v>
      </c>
    </row>
    <row r="134" spans="2:45" hidden="1" outlineLevel="2" x14ac:dyDescent="0.3">
      <c r="B134" s="31" t="s">
        <v>168</v>
      </c>
      <c r="C134" s="31"/>
      <c r="D134" s="31"/>
      <c r="E134" s="31" t="s">
        <v>169</v>
      </c>
    </row>
    <row r="135" spans="2:45" hidden="1" outlineLevel="2" x14ac:dyDescent="0.3">
      <c r="B135" s="31" t="s">
        <v>172</v>
      </c>
      <c r="C135" s="31"/>
      <c r="D135" s="31"/>
      <c r="E135" s="31" t="s">
        <v>173</v>
      </c>
    </row>
    <row r="136" spans="2:45" hidden="1" outlineLevel="2" x14ac:dyDescent="0.3">
      <c r="B136" s="31" t="s">
        <v>174</v>
      </c>
      <c r="C136" s="31"/>
      <c r="D136" s="31"/>
      <c r="E136" s="31" t="s">
        <v>175</v>
      </c>
    </row>
    <row r="137" spans="2:45" ht="15" hidden="1" outlineLevel="1" thickBot="1" x14ac:dyDescent="0.35">
      <c r="B137" s="31"/>
      <c r="C137" s="31"/>
      <c r="D137" s="31"/>
      <c r="E137" s="31"/>
    </row>
    <row r="138" spans="2:45" ht="15" hidden="1" outlineLevel="1" thickBot="1" x14ac:dyDescent="0.35">
      <c r="B138" s="71" t="s">
        <v>176</v>
      </c>
      <c r="C138" s="72"/>
      <c r="D138" s="72"/>
      <c r="E138" s="73" t="s">
        <v>177</v>
      </c>
      <c r="F138" s="7">
        <f>SUM(F139:F142)</f>
        <v>0</v>
      </c>
      <c r="G138" s="7">
        <f t="shared" ref="G138:AM138" si="39">SUM(G139:G142)</f>
        <v>0</v>
      </c>
      <c r="H138" s="7">
        <f t="shared" si="39"/>
        <v>0</v>
      </c>
      <c r="I138" s="7">
        <f t="shared" si="39"/>
        <v>0</v>
      </c>
      <c r="J138" s="7">
        <f t="shared" si="39"/>
        <v>0</v>
      </c>
      <c r="K138" s="7">
        <f t="shared" si="39"/>
        <v>0</v>
      </c>
      <c r="L138" s="7">
        <f t="shared" si="39"/>
        <v>0</v>
      </c>
      <c r="M138" s="7">
        <f t="shared" si="39"/>
        <v>0</v>
      </c>
      <c r="N138" s="7">
        <f t="shared" si="39"/>
        <v>0</v>
      </c>
      <c r="O138" s="7">
        <f t="shared" si="39"/>
        <v>0</v>
      </c>
      <c r="P138" s="7">
        <f t="shared" si="39"/>
        <v>0</v>
      </c>
      <c r="Q138" s="7">
        <f t="shared" si="39"/>
        <v>0</v>
      </c>
      <c r="R138" s="7">
        <f t="shared" si="39"/>
        <v>0</v>
      </c>
      <c r="S138" s="7">
        <f t="shared" si="39"/>
        <v>0</v>
      </c>
      <c r="T138" s="7">
        <f t="shared" si="39"/>
        <v>0</v>
      </c>
      <c r="U138" s="7">
        <f t="shared" si="39"/>
        <v>0</v>
      </c>
      <c r="V138" s="7">
        <f t="shared" si="39"/>
        <v>0</v>
      </c>
      <c r="W138" s="7">
        <f t="shared" si="39"/>
        <v>0</v>
      </c>
      <c r="X138" s="7">
        <f t="shared" si="39"/>
        <v>0</v>
      </c>
      <c r="Y138" s="7">
        <f t="shared" si="39"/>
        <v>0</v>
      </c>
      <c r="Z138" s="7">
        <f t="shared" si="39"/>
        <v>0</v>
      </c>
      <c r="AA138" s="7">
        <f t="shared" si="39"/>
        <v>0</v>
      </c>
      <c r="AB138" s="7">
        <f t="shared" si="39"/>
        <v>0</v>
      </c>
      <c r="AC138" s="7">
        <f t="shared" si="39"/>
        <v>0</v>
      </c>
      <c r="AD138" s="7">
        <f t="shared" si="39"/>
        <v>0</v>
      </c>
      <c r="AE138" s="7">
        <f t="shared" si="39"/>
        <v>0</v>
      </c>
      <c r="AF138" s="7">
        <f t="shared" si="39"/>
        <v>0</v>
      </c>
      <c r="AG138" s="7">
        <f t="shared" si="39"/>
        <v>0</v>
      </c>
      <c r="AH138" s="7">
        <f t="shared" si="39"/>
        <v>0</v>
      </c>
      <c r="AI138" s="7">
        <f t="shared" si="39"/>
        <v>0</v>
      </c>
      <c r="AJ138" s="7">
        <f t="shared" si="39"/>
        <v>0</v>
      </c>
      <c r="AK138" s="7">
        <f t="shared" si="39"/>
        <v>0</v>
      </c>
      <c r="AL138" s="7">
        <f t="shared" si="39"/>
        <v>0</v>
      </c>
      <c r="AM138" s="7">
        <f t="shared" si="39"/>
        <v>0</v>
      </c>
      <c r="AN138" s="7"/>
      <c r="AO138" s="7"/>
      <c r="AP138" s="74">
        <f>SUM(F138,I138,L138,O138,R138,U138,X138,AA138,AD138,AG138,AJ138,AM138)</f>
        <v>0</v>
      </c>
      <c r="AQ138" s="7"/>
      <c r="AR138" s="7"/>
      <c r="AS138" s="75" t="e">
        <f>AP138/$AP$94</f>
        <v>#DIV/0!</v>
      </c>
    </row>
    <row r="139" spans="2:45" hidden="1" outlineLevel="2" x14ac:dyDescent="0.3">
      <c r="B139" s="31" t="s">
        <v>178</v>
      </c>
      <c r="C139" s="31"/>
      <c r="D139" s="31"/>
      <c r="E139" s="31" t="s">
        <v>179</v>
      </c>
    </row>
    <row r="140" spans="2:45" hidden="1" outlineLevel="2" x14ac:dyDescent="0.3">
      <c r="B140" s="31" t="s">
        <v>180</v>
      </c>
      <c r="C140" s="31"/>
      <c r="D140" s="31"/>
      <c r="E140" s="31" t="s">
        <v>181</v>
      </c>
    </row>
    <row r="141" spans="2:45" hidden="1" outlineLevel="2" x14ac:dyDescent="0.3">
      <c r="B141" s="31" t="s">
        <v>182</v>
      </c>
      <c r="C141" s="31"/>
      <c r="D141" s="31"/>
      <c r="E141" s="31" t="s">
        <v>183</v>
      </c>
    </row>
    <row r="142" spans="2:45" hidden="1" outlineLevel="2" x14ac:dyDescent="0.3">
      <c r="B142" s="31" t="s">
        <v>184</v>
      </c>
      <c r="C142" s="31"/>
      <c r="D142" s="31"/>
      <c r="E142" s="31" t="s">
        <v>185</v>
      </c>
    </row>
    <row r="143" spans="2:45" ht="15" hidden="1" outlineLevel="1" thickBot="1" x14ac:dyDescent="0.35"/>
    <row r="144" spans="2:45" ht="15" hidden="1" outlineLevel="1" thickBot="1" x14ac:dyDescent="0.35">
      <c r="B144" s="82" t="s">
        <v>232</v>
      </c>
      <c r="C144" s="83"/>
      <c r="D144" s="83"/>
      <c r="E144" s="84" t="s">
        <v>233</v>
      </c>
      <c r="F144" s="7">
        <f>SUM(F145:F150)</f>
        <v>0</v>
      </c>
      <c r="G144" s="7">
        <f t="shared" ref="G144:AM144" si="40">SUM(G145:G150)</f>
        <v>0</v>
      </c>
      <c r="H144" s="7">
        <f t="shared" si="40"/>
        <v>0</v>
      </c>
      <c r="I144" s="7">
        <f t="shared" si="40"/>
        <v>0</v>
      </c>
      <c r="J144" s="7">
        <f t="shared" si="40"/>
        <v>0</v>
      </c>
      <c r="K144" s="7">
        <f t="shared" si="40"/>
        <v>0</v>
      </c>
      <c r="L144" s="7">
        <f t="shared" si="40"/>
        <v>0</v>
      </c>
      <c r="M144" s="7">
        <f t="shared" si="40"/>
        <v>0</v>
      </c>
      <c r="N144" s="7">
        <f t="shared" si="40"/>
        <v>0</v>
      </c>
      <c r="O144" s="7">
        <f t="shared" si="40"/>
        <v>0</v>
      </c>
      <c r="P144" s="7">
        <f t="shared" si="40"/>
        <v>0</v>
      </c>
      <c r="Q144" s="7">
        <f t="shared" si="40"/>
        <v>0</v>
      </c>
      <c r="R144" s="7">
        <f t="shared" si="40"/>
        <v>0</v>
      </c>
      <c r="S144" s="7">
        <f t="shared" si="40"/>
        <v>0</v>
      </c>
      <c r="T144" s="7">
        <f t="shared" si="40"/>
        <v>0</v>
      </c>
      <c r="U144" s="7">
        <f t="shared" si="40"/>
        <v>0</v>
      </c>
      <c r="V144" s="7">
        <f t="shared" si="40"/>
        <v>0</v>
      </c>
      <c r="W144" s="7">
        <f t="shared" si="40"/>
        <v>0</v>
      </c>
      <c r="X144" s="7">
        <f t="shared" si="40"/>
        <v>0</v>
      </c>
      <c r="Y144" s="7">
        <f t="shared" si="40"/>
        <v>0</v>
      </c>
      <c r="Z144" s="7">
        <f t="shared" si="40"/>
        <v>0</v>
      </c>
      <c r="AA144" s="7">
        <f t="shared" si="40"/>
        <v>0</v>
      </c>
      <c r="AB144" s="7">
        <f t="shared" si="40"/>
        <v>0</v>
      </c>
      <c r="AC144" s="7">
        <f t="shared" si="40"/>
        <v>0</v>
      </c>
      <c r="AD144" s="7">
        <f t="shared" si="40"/>
        <v>0</v>
      </c>
      <c r="AE144" s="7">
        <f t="shared" si="40"/>
        <v>0</v>
      </c>
      <c r="AF144" s="7">
        <f t="shared" si="40"/>
        <v>0</v>
      </c>
      <c r="AG144" s="7">
        <f t="shared" si="40"/>
        <v>0</v>
      </c>
      <c r="AH144" s="7">
        <f t="shared" si="40"/>
        <v>0</v>
      </c>
      <c r="AI144" s="7">
        <f t="shared" si="40"/>
        <v>0</v>
      </c>
      <c r="AJ144" s="7">
        <f t="shared" si="40"/>
        <v>0</v>
      </c>
      <c r="AK144" s="7">
        <f t="shared" si="40"/>
        <v>0</v>
      </c>
      <c r="AL144" s="7">
        <f t="shared" si="40"/>
        <v>0</v>
      </c>
      <c r="AM144" s="7">
        <f t="shared" si="40"/>
        <v>0</v>
      </c>
      <c r="AN144" s="7"/>
      <c r="AO144" s="7"/>
      <c r="AP144" s="74">
        <f>SUM(F144,I144,L144,O144,R144,U144,X144,AA144,AD144,AG144,AJ144,AM144)</f>
        <v>0</v>
      </c>
      <c r="AQ144" s="7"/>
      <c r="AR144" s="7"/>
      <c r="AS144" s="75" t="e">
        <f>AP144/$AP$94</f>
        <v>#DIV/0!</v>
      </c>
    </row>
    <row r="145" spans="1:5" hidden="1" outlineLevel="2" x14ac:dyDescent="0.3">
      <c r="B145" s="85" t="s">
        <v>234</v>
      </c>
      <c r="E145" t="s">
        <v>235</v>
      </c>
    </row>
    <row r="146" spans="1:5" hidden="1" outlineLevel="2" x14ac:dyDescent="0.3">
      <c r="B146" s="85" t="s">
        <v>236</v>
      </c>
      <c r="E146" t="s">
        <v>237</v>
      </c>
    </row>
    <row r="147" spans="1:5" hidden="1" outlineLevel="2" x14ac:dyDescent="0.3">
      <c r="B147" s="85" t="s">
        <v>238</v>
      </c>
      <c r="E147" t="s">
        <v>239</v>
      </c>
    </row>
    <row r="148" spans="1:5" hidden="1" outlineLevel="2" x14ac:dyDescent="0.3">
      <c r="B148" s="85" t="s">
        <v>240</v>
      </c>
      <c r="E148" t="s">
        <v>241</v>
      </c>
    </row>
    <row r="149" spans="1:5" hidden="1" outlineLevel="2" x14ac:dyDescent="0.3">
      <c r="B149" s="85" t="s">
        <v>242</v>
      </c>
      <c r="E149" t="s">
        <v>243</v>
      </c>
    </row>
    <row r="150" spans="1:5" hidden="1" outlineLevel="2" x14ac:dyDescent="0.3">
      <c r="B150" s="85" t="s">
        <v>244</v>
      </c>
      <c r="E150" t="s">
        <v>245</v>
      </c>
    </row>
    <row r="151" spans="1:5" collapsed="1" x14ac:dyDescent="0.3"/>
    <row r="152" spans="1:5" x14ac:dyDescent="0.3">
      <c r="A152" t="s">
        <v>246</v>
      </c>
    </row>
  </sheetData>
  <pageMargins left="0.7" right="0.7" top="0.75" bottom="0.75" header="0.3" footer="0.3"/>
  <pageSetup paperSize="9" scale="43" orientation="landscape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R255"/>
  <sheetViews>
    <sheetView topLeftCell="B216" zoomScale="115" zoomScaleNormal="115" workbookViewId="0">
      <selection activeCell="C224" sqref="C224"/>
    </sheetView>
  </sheetViews>
  <sheetFormatPr defaultColWidth="8.77734375" defaultRowHeight="14.4" outlineLevelRow="2" x14ac:dyDescent="0.3"/>
  <cols>
    <col min="1" max="1" width="2.44140625" customWidth="1"/>
    <col min="2" max="2" width="20.21875" customWidth="1"/>
    <col min="3" max="3" width="8.21875" customWidth="1"/>
    <col min="4" max="4" width="12.21875" bestFit="1" customWidth="1"/>
    <col min="5" max="5" width="12" bestFit="1" customWidth="1"/>
    <col min="6" max="9" width="8.21875" customWidth="1"/>
    <col min="10" max="10" width="12" bestFit="1" customWidth="1"/>
    <col min="11" max="11" width="15.21875" customWidth="1"/>
    <col min="12" max="12" width="12.77734375" bestFit="1" customWidth="1"/>
    <col min="13" max="17" width="8.21875" customWidth="1"/>
    <col min="18" max="18" width="12.21875" customWidth="1"/>
    <col min="19" max="19" width="9.21875" bestFit="1" customWidth="1"/>
  </cols>
  <sheetData>
    <row r="1" spans="2:18" ht="21" x14ac:dyDescent="0.4">
      <c r="B1" s="608" t="s">
        <v>294</v>
      </c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8"/>
      <c r="N1" s="608"/>
      <c r="O1" s="608"/>
      <c r="P1" s="608"/>
      <c r="Q1" s="608"/>
      <c r="R1" s="608"/>
    </row>
    <row r="2" spans="2:18" ht="21" x14ac:dyDescent="0.4">
      <c r="B2" s="144" t="s">
        <v>293</v>
      </c>
      <c r="C2" s="609">
        <v>2026</v>
      </c>
      <c r="D2" s="610"/>
      <c r="E2" s="611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2:18" ht="15" thickBot="1" x14ac:dyDescent="0.35">
      <c r="B3" t="s">
        <v>186</v>
      </c>
      <c r="C3">
        <v>1</v>
      </c>
      <c r="D3">
        <v>0.8</v>
      </c>
      <c r="E3">
        <v>0.7</v>
      </c>
      <c r="F3">
        <v>0.5</v>
      </c>
      <c r="G3">
        <v>0.7</v>
      </c>
      <c r="H3">
        <v>0.5</v>
      </c>
      <c r="I3">
        <v>0.2</v>
      </c>
      <c r="L3" t="s">
        <v>691</v>
      </c>
      <c r="M3" s="514">
        <f>M4/12</f>
        <v>2.5000000000000001E-3</v>
      </c>
      <c r="N3" t="s">
        <v>696</v>
      </c>
      <c r="O3" s="513">
        <v>0.85</v>
      </c>
    </row>
    <row r="4" spans="2:18" x14ac:dyDescent="0.3">
      <c r="B4" s="142" t="s">
        <v>292</v>
      </c>
      <c r="C4" s="141" t="s">
        <v>291</v>
      </c>
      <c r="D4" s="140" t="s">
        <v>290</v>
      </c>
      <c r="E4" s="613" t="s">
        <v>289</v>
      </c>
      <c r="F4" s="614"/>
      <c r="G4" s="615" t="s">
        <v>288</v>
      </c>
      <c r="H4" s="616"/>
      <c r="I4" s="139" t="s">
        <v>287</v>
      </c>
      <c r="J4" s="138" t="s">
        <v>19</v>
      </c>
      <c r="M4" s="513">
        <v>0.03</v>
      </c>
    </row>
    <row r="5" spans="2:18" ht="36.6" thickBot="1" x14ac:dyDescent="0.35">
      <c r="B5" s="137"/>
      <c r="C5" s="136" t="s">
        <v>286</v>
      </c>
      <c r="D5" s="135" t="s">
        <v>285</v>
      </c>
      <c r="E5" s="134" t="s">
        <v>284</v>
      </c>
      <c r="F5" s="134" t="s">
        <v>283</v>
      </c>
      <c r="G5" s="133" t="s">
        <v>282</v>
      </c>
      <c r="H5" s="133" t="s">
        <v>281</v>
      </c>
      <c r="I5" s="132" t="s">
        <v>280</v>
      </c>
      <c r="J5" s="131" t="s">
        <v>279</v>
      </c>
    </row>
    <row r="6" spans="2:18" ht="25.05" customHeight="1" thickBot="1" x14ac:dyDescent="0.35">
      <c r="B6" s="130" t="s">
        <v>278</v>
      </c>
      <c r="C6" s="501">
        <v>4</v>
      </c>
      <c r="D6" s="501">
        <v>100</v>
      </c>
      <c r="E6" s="501">
        <v>0</v>
      </c>
      <c r="F6" s="501">
        <v>0</v>
      </c>
      <c r="G6" s="501">
        <v>0</v>
      </c>
      <c r="H6" s="501">
        <v>0</v>
      </c>
      <c r="I6" s="501">
        <v>75</v>
      </c>
      <c r="J6" s="501">
        <f t="shared" ref="J6:J16" si="0">SUM(C6:I6)</f>
        <v>179</v>
      </c>
    </row>
    <row r="7" spans="2:18" ht="18" hidden="1" customHeight="1" outlineLevel="1" x14ac:dyDescent="0.3">
      <c r="B7" s="123" t="s">
        <v>262</v>
      </c>
      <c r="C7" s="502"/>
      <c r="D7" s="502"/>
      <c r="E7" s="502"/>
      <c r="F7" s="502"/>
      <c r="G7" s="502"/>
      <c r="H7" s="502"/>
      <c r="I7" s="459"/>
      <c r="J7" s="456">
        <f t="shared" si="0"/>
        <v>0</v>
      </c>
    </row>
    <row r="8" spans="2:18" ht="18" hidden="1" customHeight="1" outlineLevel="1" x14ac:dyDescent="0.3">
      <c r="B8" s="123" t="s">
        <v>261</v>
      </c>
      <c r="C8" s="459"/>
      <c r="D8" s="459"/>
      <c r="E8" s="459"/>
      <c r="F8" s="459"/>
      <c r="G8" s="459"/>
      <c r="H8" s="459"/>
      <c r="I8" s="459"/>
      <c r="J8" s="456">
        <f t="shared" si="0"/>
        <v>0</v>
      </c>
    </row>
    <row r="9" spans="2:18" ht="18" hidden="1" customHeight="1" outlineLevel="1" x14ac:dyDescent="0.3">
      <c r="B9" s="124" t="s">
        <v>260</v>
      </c>
      <c r="C9" s="503">
        <f>C6*$M$3</f>
        <v>0.01</v>
      </c>
      <c r="D9" s="503">
        <f t="shared" ref="D9:I9" si="1">D6*$M$3</f>
        <v>0.25</v>
      </c>
      <c r="E9" s="503">
        <f t="shared" si="1"/>
        <v>0</v>
      </c>
      <c r="F9" s="503">
        <f t="shared" si="1"/>
        <v>0</v>
      </c>
      <c r="G9" s="503">
        <f t="shared" si="1"/>
        <v>0</v>
      </c>
      <c r="H9" s="503">
        <f t="shared" si="1"/>
        <v>0</v>
      </c>
      <c r="I9" s="503">
        <f t="shared" si="1"/>
        <v>0.1875</v>
      </c>
      <c r="J9" s="457">
        <f t="shared" si="0"/>
        <v>0.44750000000000001</v>
      </c>
    </row>
    <row r="10" spans="2:18" ht="18" hidden="1" customHeight="1" outlineLevel="1" x14ac:dyDescent="0.3">
      <c r="B10" s="124" t="s">
        <v>259</v>
      </c>
      <c r="C10" s="503"/>
      <c r="D10" s="503"/>
      <c r="E10" s="503"/>
      <c r="F10" s="503"/>
      <c r="G10" s="503"/>
      <c r="H10" s="503"/>
      <c r="I10" s="503"/>
      <c r="J10" s="457">
        <f t="shared" si="0"/>
        <v>0</v>
      </c>
    </row>
    <row r="11" spans="2:18" ht="18" hidden="1" customHeight="1" outlineLevel="1" x14ac:dyDescent="0.3">
      <c r="B11" s="124" t="s">
        <v>258</v>
      </c>
      <c r="C11" s="503"/>
      <c r="D11" s="503"/>
      <c r="E11" s="503"/>
      <c r="F11" s="503"/>
      <c r="G11" s="503"/>
      <c r="H11" s="503"/>
      <c r="I11" s="503"/>
      <c r="J11" s="457">
        <f t="shared" si="0"/>
        <v>0</v>
      </c>
    </row>
    <row r="12" spans="2:18" ht="18" hidden="1" customHeight="1" outlineLevel="1" x14ac:dyDescent="0.3">
      <c r="B12" s="124" t="s">
        <v>257</v>
      </c>
      <c r="C12" s="503"/>
      <c r="D12" s="503"/>
      <c r="E12" s="503"/>
      <c r="F12" s="503"/>
      <c r="G12" s="503"/>
      <c r="H12" s="503"/>
      <c r="I12" s="503"/>
      <c r="J12" s="457">
        <f t="shared" si="0"/>
        <v>0</v>
      </c>
    </row>
    <row r="13" spans="2:18" ht="18" hidden="1" customHeight="1" outlineLevel="1" x14ac:dyDescent="0.3">
      <c r="B13" s="124" t="s">
        <v>256</v>
      </c>
      <c r="C13" s="503"/>
      <c r="D13" s="503"/>
      <c r="E13" s="503"/>
      <c r="F13" s="503"/>
      <c r="G13" s="503"/>
      <c r="H13" s="503"/>
      <c r="I13" s="503"/>
      <c r="J13" s="457">
        <f t="shared" si="0"/>
        <v>0</v>
      </c>
    </row>
    <row r="14" spans="2:18" ht="18" hidden="1" customHeight="1" outlineLevel="1" x14ac:dyDescent="0.3">
      <c r="B14" s="125" t="s">
        <v>255</v>
      </c>
      <c r="C14" s="459"/>
      <c r="D14" s="459"/>
      <c r="E14" s="459"/>
      <c r="F14" s="459"/>
      <c r="G14" s="459"/>
      <c r="H14" s="459"/>
      <c r="I14" s="459"/>
      <c r="J14" s="456">
        <f t="shared" si="0"/>
        <v>0</v>
      </c>
    </row>
    <row r="15" spans="2:18" ht="18" hidden="1" customHeight="1" outlineLevel="1" x14ac:dyDescent="0.3">
      <c r="B15" s="124" t="s">
        <v>254</v>
      </c>
      <c r="C15" s="503"/>
      <c r="D15" s="503"/>
      <c r="E15" s="503"/>
      <c r="F15" s="503"/>
      <c r="G15" s="503"/>
      <c r="H15" s="503"/>
      <c r="I15" s="503"/>
      <c r="J15" s="457">
        <f t="shared" si="0"/>
        <v>0</v>
      </c>
    </row>
    <row r="16" spans="2:18" ht="18" hidden="1" customHeight="1" outlineLevel="1" x14ac:dyDescent="0.3">
      <c r="B16" s="124" t="s">
        <v>265</v>
      </c>
      <c r="C16" s="503"/>
      <c r="D16" s="503"/>
      <c r="E16" s="503"/>
      <c r="F16" s="503"/>
      <c r="G16" s="503"/>
      <c r="H16" s="503"/>
      <c r="I16" s="503"/>
      <c r="J16" s="457">
        <f t="shared" si="0"/>
        <v>0</v>
      </c>
    </row>
    <row r="17" spans="2:10" ht="18" hidden="1" customHeight="1" outlineLevel="1" x14ac:dyDescent="0.3">
      <c r="B17" s="129" t="s">
        <v>251</v>
      </c>
      <c r="C17" s="459">
        <f t="shared" ref="C17:J17" si="2">SUM(C6+C7+C8-C9-C10-C11-C12-C13+C14-C15-C16)</f>
        <v>3.99</v>
      </c>
      <c r="D17" s="459">
        <f t="shared" si="2"/>
        <v>99.75</v>
      </c>
      <c r="E17" s="459">
        <f t="shared" si="2"/>
        <v>0</v>
      </c>
      <c r="F17" s="459">
        <f t="shared" si="2"/>
        <v>0</v>
      </c>
      <c r="G17" s="459">
        <f t="shared" si="2"/>
        <v>0</v>
      </c>
      <c r="H17" s="459">
        <f t="shared" si="2"/>
        <v>0</v>
      </c>
      <c r="I17" s="459">
        <f t="shared" si="2"/>
        <v>74.8125</v>
      </c>
      <c r="J17" s="459">
        <f t="shared" si="2"/>
        <v>178.55250000000001</v>
      </c>
    </row>
    <row r="18" spans="2:10" ht="18" hidden="1" customHeight="1" outlineLevel="1" x14ac:dyDescent="0.3">
      <c r="B18" s="128" t="s">
        <v>277</v>
      </c>
      <c r="C18" s="504"/>
      <c r="D18" s="504"/>
      <c r="E18" s="504"/>
      <c r="F18" s="504"/>
      <c r="G18" s="504"/>
      <c r="H18" s="504"/>
      <c r="I18" s="504"/>
      <c r="J18" s="461">
        <f>SUM(C18:I18)</f>
        <v>0</v>
      </c>
    </row>
    <row r="19" spans="2:10" ht="17.100000000000001" hidden="1" customHeight="1" outlineLevel="1" thickBot="1" x14ac:dyDescent="0.35">
      <c r="B19" s="120" t="s">
        <v>186</v>
      </c>
      <c r="C19" s="505">
        <f>C17*C$3</f>
        <v>3.99</v>
      </c>
      <c r="D19" s="505">
        <f t="shared" ref="D19:I19" si="3">D17*D$3</f>
        <v>79.800000000000011</v>
      </c>
      <c r="E19" s="505">
        <f t="shared" si="3"/>
        <v>0</v>
      </c>
      <c r="F19" s="505">
        <f t="shared" si="3"/>
        <v>0</v>
      </c>
      <c r="G19" s="505">
        <f t="shared" si="3"/>
        <v>0</v>
      </c>
      <c r="H19" s="505">
        <f t="shared" si="3"/>
        <v>0</v>
      </c>
      <c r="I19" s="505">
        <f t="shared" si="3"/>
        <v>14.9625</v>
      </c>
      <c r="J19" s="461">
        <f>SUM(C19:I19)</f>
        <v>98.752500000000012</v>
      </c>
    </row>
    <row r="20" spans="2:10" ht="20.100000000000001" customHeight="1" collapsed="1" thickBot="1" x14ac:dyDescent="0.4">
      <c r="B20" s="127" t="s">
        <v>276</v>
      </c>
      <c r="C20" s="454">
        <f t="shared" ref="C20:J20" si="4">SUM(C16+C17+C18)</f>
        <v>3.99</v>
      </c>
      <c r="D20" s="454">
        <f t="shared" si="4"/>
        <v>99.75</v>
      </c>
      <c r="E20" s="454">
        <f t="shared" si="4"/>
        <v>0</v>
      </c>
      <c r="F20" s="454">
        <f t="shared" si="4"/>
        <v>0</v>
      </c>
      <c r="G20" s="454">
        <f t="shared" si="4"/>
        <v>0</v>
      </c>
      <c r="H20" s="454">
        <f t="shared" si="4"/>
        <v>0</v>
      </c>
      <c r="I20" s="454">
        <f t="shared" si="4"/>
        <v>74.8125</v>
      </c>
      <c r="J20" s="454">
        <f t="shared" si="4"/>
        <v>178.55250000000001</v>
      </c>
    </row>
    <row r="21" spans="2:10" ht="25.05" hidden="1" customHeight="1" outlineLevel="2" x14ac:dyDescent="0.3">
      <c r="B21" s="126" t="s">
        <v>266</v>
      </c>
      <c r="C21" s="455">
        <f t="shared" ref="C21:J21" si="5">SUM(C20)</f>
        <v>3.99</v>
      </c>
      <c r="D21" s="455">
        <f t="shared" si="5"/>
        <v>99.75</v>
      </c>
      <c r="E21" s="455">
        <f t="shared" si="5"/>
        <v>0</v>
      </c>
      <c r="F21" s="455">
        <f t="shared" si="5"/>
        <v>0</v>
      </c>
      <c r="G21" s="455">
        <f t="shared" si="5"/>
        <v>0</v>
      </c>
      <c r="H21" s="455">
        <f t="shared" si="5"/>
        <v>0</v>
      </c>
      <c r="I21" s="455">
        <f t="shared" si="5"/>
        <v>74.8125</v>
      </c>
      <c r="J21" s="455">
        <f t="shared" si="5"/>
        <v>178.55250000000001</v>
      </c>
    </row>
    <row r="22" spans="2:10" ht="18" hidden="1" customHeight="1" outlineLevel="2" x14ac:dyDescent="0.3">
      <c r="B22" s="123" t="s">
        <v>262</v>
      </c>
      <c r="C22" s="502"/>
      <c r="D22" s="502"/>
      <c r="E22" s="502"/>
      <c r="F22" s="502"/>
      <c r="G22" s="502"/>
      <c r="H22" s="502"/>
      <c r="I22" s="459"/>
      <c r="J22" s="456">
        <f t="shared" ref="J22:J37" si="6">SUM(C22:I22)</f>
        <v>0</v>
      </c>
    </row>
    <row r="23" spans="2:10" ht="18" hidden="1" customHeight="1" outlineLevel="2" x14ac:dyDescent="0.3">
      <c r="B23" s="123" t="s">
        <v>261</v>
      </c>
      <c r="C23" s="459"/>
      <c r="D23" s="459"/>
      <c r="E23" s="459"/>
      <c r="F23" s="459"/>
      <c r="G23" s="459"/>
      <c r="H23" s="459"/>
      <c r="I23" s="459"/>
      <c r="J23" s="456">
        <f t="shared" si="6"/>
        <v>0</v>
      </c>
    </row>
    <row r="24" spans="2:10" ht="18" hidden="1" customHeight="1" outlineLevel="2" x14ac:dyDescent="0.3">
      <c r="B24" s="124" t="s">
        <v>260</v>
      </c>
      <c r="C24" s="503">
        <f>C21*$M$3</f>
        <v>9.9750000000000012E-3</v>
      </c>
      <c r="D24" s="503">
        <f t="shared" ref="D24:I24" si="7">D21*$M$3</f>
        <v>0.24937500000000001</v>
      </c>
      <c r="E24" s="503">
        <f t="shared" si="7"/>
        <v>0</v>
      </c>
      <c r="F24" s="503">
        <f t="shared" si="7"/>
        <v>0</v>
      </c>
      <c r="G24" s="503">
        <f t="shared" si="7"/>
        <v>0</v>
      </c>
      <c r="H24" s="503">
        <f t="shared" si="7"/>
        <v>0</v>
      </c>
      <c r="I24" s="503">
        <f t="shared" si="7"/>
        <v>0.18703125000000001</v>
      </c>
      <c r="J24" s="457">
        <f t="shared" si="6"/>
        <v>0.44638125000000006</v>
      </c>
    </row>
    <row r="25" spans="2:10" ht="18" hidden="1" customHeight="1" outlineLevel="2" x14ac:dyDescent="0.3">
      <c r="B25" s="124" t="s">
        <v>259</v>
      </c>
      <c r="C25" s="503"/>
      <c r="D25" s="503"/>
      <c r="E25" s="503"/>
      <c r="F25" s="503"/>
      <c r="G25" s="503"/>
      <c r="H25" s="503"/>
      <c r="I25" s="503"/>
      <c r="J25" s="457">
        <f t="shared" si="6"/>
        <v>0</v>
      </c>
    </row>
    <row r="26" spans="2:10" ht="18" hidden="1" customHeight="1" outlineLevel="2" x14ac:dyDescent="0.3">
      <c r="B26" s="124" t="s">
        <v>258</v>
      </c>
      <c r="C26" s="503"/>
      <c r="D26" s="503"/>
      <c r="E26" s="503"/>
      <c r="F26" s="503"/>
      <c r="G26" s="503"/>
      <c r="H26" s="503"/>
      <c r="I26" s="503"/>
      <c r="J26" s="457">
        <f t="shared" si="6"/>
        <v>0</v>
      </c>
    </row>
    <row r="27" spans="2:10" ht="18" hidden="1" customHeight="1" outlineLevel="2" x14ac:dyDescent="0.3">
      <c r="B27" s="124" t="s">
        <v>257</v>
      </c>
      <c r="C27" s="503"/>
      <c r="D27" s="503"/>
      <c r="E27" s="503"/>
      <c r="F27" s="503"/>
      <c r="G27" s="503"/>
      <c r="H27" s="503"/>
      <c r="I27" s="503"/>
      <c r="J27" s="457">
        <f t="shared" si="6"/>
        <v>0</v>
      </c>
    </row>
    <row r="28" spans="2:10" ht="18" hidden="1" customHeight="1" outlineLevel="2" x14ac:dyDescent="0.3">
      <c r="B28" s="124" t="s">
        <v>256</v>
      </c>
      <c r="C28" s="503"/>
      <c r="D28" s="503"/>
      <c r="E28" s="503"/>
      <c r="F28" s="503"/>
      <c r="G28" s="503"/>
      <c r="H28" s="503"/>
      <c r="I28" s="503"/>
      <c r="J28" s="457">
        <f t="shared" si="6"/>
        <v>0</v>
      </c>
    </row>
    <row r="29" spans="2:10" ht="18" hidden="1" customHeight="1" outlineLevel="2" x14ac:dyDescent="0.3">
      <c r="B29" s="125" t="s">
        <v>255</v>
      </c>
      <c r="C29" s="459"/>
      <c r="D29" s="459"/>
      <c r="E29" s="459"/>
      <c r="F29" s="459"/>
      <c r="G29" s="459"/>
      <c r="H29" s="459"/>
      <c r="I29" s="459"/>
      <c r="J29" s="456">
        <f t="shared" si="6"/>
        <v>0</v>
      </c>
    </row>
    <row r="30" spans="2:10" ht="18" hidden="1" customHeight="1" outlineLevel="2" x14ac:dyDescent="0.3">
      <c r="B30" s="124" t="s">
        <v>254</v>
      </c>
      <c r="C30" s="503"/>
      <c r="D30" s="503"/>
      <c r="E30" s="503"/>
      <c r="F30" s="503"/>
      <c r="G30" s="503"/>
      <c r="H30" s="503"/>
      <c r="I30" s="503"/>
      <c r="J30" s="457">
        <f t="shared" si="6"/>
        <v>0</v>
      </c>
    </row>
    <row r="31" spans="2:10" ht="18" hidden="1" customHeight="1" outlineLevel="2" x14ac:dyDescent="0.3">
      <c r="B31" s="124" t="s">
        <v>265</v>
      </c>
      <c r="C31" s="503"/>
      <c r="D31" s="503"/>
      <c r="E31" s="503"/>
      <c r="F31" s="503"/>
      <c r="G31" s="503"/>
      <c r="H31" s="503"/>
      <c r="I31" s="503"/>
      <c r="J31" s="457">
        <f t="shared" si="6"/>
        <v>0</v>
      </c>
    </row>
    <row r="32" spans="2:10" ht="18" hidden="1" customHeight="1" outlineLevel="2" x14ac:dyDescent="0.3">
      <c r="B32" s="123" t="s">
        <v>252</v>
      </c>
      <c r="C32" s="458">
        <f t="shared" ref="C32:I32" si="8">SUM(C21+C22+C23-C24-C25-C26-C27-C28+C29-C30)</f>
        <v>3.9800250000000004</v>
      </c>
      <c r="D32" s="458">
        <f t="shared" si="8"/>
        <v>99.500624999999999</v>
      </c>
      <c r="E32" s="458">
        <f t="shared" si="8"/>
        <v>0</v>
      </c>
      <c r="F32" s="458">
        <f t="shared" si="8"/>
        <v>0</v>
      </c>
      <c r="G32" s="458">
        <f t="shared" si="8"/>
        <v>0</v>
      </c>
      <c r="H32" s="458">
        <f t="shared" si="8"/>
        <v>0</v>
      </c>
      <c r="I32" s="458">
        <f t="shared" si="8"/>
        <v>74.625468749999996</v>
      </c>
      <c r="J32" s="458">
        <f t="shared" si="6"/>
        <v>178.10611875000001</v>
      </c>
    </row>
    <row r="33" spans="2:10" ht="18" hidden="1" customHeight="1" outlineLevel="2" x14ac:dyDescent="0.3">
      <c r="B33" s="121" t="s">
        <v>251</v>
      </c>
      <c r="C33" s="459"/>
      <c r="D33" s="459"/>
      <c r="E33" s="459"/>
      <c r="F33" s="459"/>
      <c r="G33" s="459"/>
      <c r="H33" s="459"/>
      <c r="I33" s="459"/>
      <c r="J33" s="459">
        <f t="shared" si="6"/>
        <v>0</v>
      </c>
    </row>
    <row r="34" spans="2:10" ht="18" hidden="1" customHeight="1" outlineLevel="2" x14ac:dyDescent="0.3">
      <c r="B34" s="122" t="s">
        <v>22</v>
      </c>
      <c r="C34" s="460">
        <f t="shared" ref="C34:I34" si="9">SUM(C32-C33)</f>
        <v>3.9800250000000004</v>
      </c>
      <c r="D34" s="460">
        <f t="shared" si="9"/>
        <v>99.500624999999999</v>
      </c>
      <c r="E34" s="460">
        <f t="shared" si="9"/>
        <v>0</v>
      </c>
      <c r="F34" s="460">
        <f t="shared" si="9"/>
        <v>0</v>
      </c>
      <c r="G34" s="460">
        <f t="shared" si="9"/>
        <v>0</v>
      </c>
      <c r="H34" s="460">
        <f t="shared" si="9"/>
        <v>0</v>
      </c>
      <c r="I34" s="460">
        <f t="shared" si="9"/>
        <v>74.625468749999996</v>
      </c>
      <c r="J34" s="460">
        <f t="shared" si="6"/>
        <v>178.10611875000001</v>
      </c>
    </row>
    <row r="35" spans="2:10" ht="18" hidden="1" customHeight="1" outlineLevel="2" x14ac:dyDescent="0.3">
      <c r="B35" s="121" t="s">
        <v>250</v>
      </c>
      <c r="C35" s="504"/>
      <c r="D35" s="504"/>
      <c r="E35" s="504"/>
      <c r="F35" s="504"/>
      <c r="G35" s="504"/>
      <c r="H35" s="504"/>
      <c r="I35" s="504"/>
      <c r="J35" s="461">
        <f t="shared" si="6"/>
        <v>0</v>
      </c>
    </row>
    <row r="36" spans="2:10" ht="18" hidden="1" customHeight="1" outlineLevel="2" thickBot="1" x14ac:dyDescent="0.35">
      <c r="B36" s="120" t="s">
        <v>186</v>
      </c>
      <c r="C36" s="505">
        <f>C32*C$3</f>
        <v>3.9800250000000004</v>
      </c>
      <c r="D36" s="505">
        <f t="shared" ref="D36:I36" si="10">D32*D$3</f>
        <v>79.600500000000011</v>
      </c>
      <c r="E36" s="505">
        <f t="shared" si="10"/>
        <v>0</v>
      </c>
      <c r="F36" s="505">
        <f t="shared" si="10"/>
        <v>0</v>
      </c>
      <c r="G36" s="505">
        <f t="shared" si="10"/>
        <v>0</v>
      </c>
      <c r="H36" s="505">
        <f t="shared" si="10"/>
        <v>0</v>
      </c>
      <c r="I36" s="505">
        <f t="shared" si="10"/>
        <v>14.92509375</v>
      </c>
      <c r="J36" s="461">
        <f t="shared" si="6"/>
        <v>98.505618750000011</v>
      </c>
    </row>
    <row r="37" spans="2:10" ht="20.100000000000001" customHeight="1" collapsed="1" thickBot="1" x14ac:dyDescent="0.4">
      <c r="B37" s="127" t="s">
        <v>275</v>
      </c>
      <c r="C37" s="454">
        <f t="shared" ref="C37:I37" si="11">SUM(C32+C35)</f>
        <v>3.9800250000000004</v>
      </c>
      <c r="D37" s="454">
        <f t="shared" si="11"/>
        <v>99.500624999999999</v>
      </c>
      <c r="E37" s="454">
        <f t="shared" si="11"/>
        <v>0</v>
      </c>
      <c r="F37" s="454">
        <f t="shared" si="11"/>
        <v>0</v>
      </c>
      <c r="G37" s="454">
        <f t="shared" si="11"/>
        <v>0</v>
      </c>
      <c r="H37" s="454">
        <f t="shared" si="11"/>
        <v>0</v>
      </c>
      <c r="I37" s="454">
        <f t="shared" si="11"/>
        <v>74.625468749999996</v>
      </c>
      <c r="J37" s="454">
        <f t="shared" si="6"/>
        <v>178.10611875000001</v>
      </c>
    </row>
    <row r="38" spans="2:10" ht="25.05" hidden="1" customHeight="1" outlineLevel="1" x14ac:dyDescent="0.3">
      <c r="B38" s="126" t="s">
        <v>266</v>
      </c>
      <c r="C38" s="455">
        <f t="shared" ref="C38:J38" si="12">SUM(C37)</f>
        <v>3.9800250000000004</v>
      </c>
      <c r="D38" s="455">
        <f t="shared" si="12"/>
        <v>99.500624999999999</v>
      </c>
      <c r="E38" s="455">
        <f t="shared" si="12"/>
        <v>0</v>
      </c>
      <c r="F38" s="455">
        <f t="shared" si="12"/>
        <v>0</v>
      </c>
      <c r="G38" s="455">
        <f t="shared" si="12"/>
        <v>0</v>
      </c>
      <c r="H38" s="455">
        <f t="shared" si="12"/>
        <v>0</v>
      </c>
      <c r="I38" s="455">
        <f t="shared" si="12"/>
        <v>74.625468749999996</v>
      </c>
      <c r="J38" s="455">
        <f t="shared" si="12"/>
        <v>178.10611875000001</v>
      </c>
    </row>
    <row r="39" spans="2:10" ht="18" hidden="1" customHeight="1" outlineLevel="1" x14ac:dyDescent="0.3">
      <c r="B39" s="123" t="s">
        <v>262</v>
      </c>
      <c r="C39" s="502"/>
      <c r="D39" s="502"/>
      <c r="E39" s="502"/>
      <c r="F39" s="502"/>
      <c r="G39" s="502"/>
      <c r="H39" s="502"/>
      <c r="I39" s="459"/>
      <c r="J39" s="456">
        <f t="shared" ref="J39:J54" si="13">SUM(C39:I39)</f>
        <v>0</v>
      </c>
    </row>
    <row r="40" spans="2:10" ht="18" hidden="1" customHeight="1" outlineLevel="1" x14ac:dyDescent="0.3">
      <c r="B40" s="123" t="s">
        <v>261</v>
      </c>
      <c r="C40" s="459"/>
      <c r="D40" s="459"/>
      <c r="E40" s="459"/>
      <c r="F40" s="459"/>
      <c r="G40" s="459"/>
      <c r="H40" s="459"/>
      <c r="I40" s="459"/>
      <c r="J40" s="456">
        <f t="shared" si="13"/>
        <v>0</v>
      </c>
    </row>
    <row r="41" spans="2:10" ht="18" hidden="1" customHeight="1" outlineLevel="1" x14ac:dyDescent="0.3">
      <c r="B41" s="124" t="s">
        <v>260</v>
      </c>
      <c r="C41" s="503">
        <f>C38*$M$3</f>
        <v>9.9500625000000006E-3</v>
      </c>
      <c r="D41" s="503">
        <f t="shared" ref="D41:I41" si="14">D38*$M$3</f>
        <v>0.2487515625</v>
      </c>
      <c r="E41" s="503">
        <f t="shared" si="14"/>
        <v>0</v>
      </c>
      <c r="F41" s="503">
        <f t="shared" si="14"/>
        <v>0</v>
      </c>
      <c r="G41" s="503">
        <f t="shared" si="14"/>
        <v>0</v>
      </c>
      <c r="H41" s="503">
        <f t="shared" si="14"/>
        <v>0</v>
      </c>
      <c r="I41" s="503">
        <f t="shared" si="14"/>
        <v>0.186563671875</v>
      </c>
      <c r="J41" s="457">
        <f t="shared" si="13"/>
        <v>0.44526529687499999</v>
      </c>
    </row>
    <row r="42" spans="2:10" ht="18" hidden="1" customHeight="1" outlineLevel="1" x14ac:dyDescent="0.3">
      <c r="B42" s="124" t="s">
        <v>259</v>
      </c>
      <c r="C42" s="503"/>
      <c r="D42" s="503"/>
      <c r="E42" s="503"/>
      <c r="F42" s="503"/>
      <c r="G42" s="503"/>
      <c r="H42" s="503"/>
      <c r="I42" s="503"/>
      <c r="J42" s="457">
        <f t="shared" si="13"/>
        <v>0</v>
      </c>
    </row>
    <row r="43" spans="2:10" ht="18" hidden="1" customHeight="1" outlineLevel="1" x14ac:dyDescent="0.3">
      <c r="B43" s="124" t="s">
        <v>258</v>
      </c>
      <c r="C43" s="503"/>
      <c r="D43" s="503"/>
      <c r="E43" s="503"/>
      <c r="F43" s="503"/>
      <c r="G43" s="503">
        <f>G38-G41</f>
        <v>0</v>
      </c>
      <c r="H43" s="503"/>
      <c r="I43" s="503"/>
      <c r="J43" s="457">
        <f t="shared" si="13"/>
        <v>0</v>
      </c>
    </row>
    <row r="44" spans="2:10" ht="18" hidden="1" customHeight="1" outlineLevel="1" x14ac:dyDescent="0.3">
      <c r="B44" s="124" t="s">
        <v>257</v>
      </c>
      <c r="C44" s="503"/>
      <c r="D44" s="503"/>
      <c r="E44" s="503"/>
      <c r="F44" s="503"/>
      <c r="G44" s="503"/>
      <c r="H44" s="503"/>
      <c r="I44" s="503"/>
      <c r="J44" s="457">
        <f t="shared" si="13"/>
        <v>0</v>
      </c>
    </row>
    <row r="45" spans="2:10" ht="18" hidden="1" customHeight="1" outlineLevel="1" x14ac:dyDescent="0.3">
      <c r="B45" s="124" t="s">
        <v>256</v>
      </c>
      <c r="C45" s="503"/>
      <c r="D45" s="503"/>
      <c r="E45" s="503"/>
      <c r="F45" s="503"/>
      <c r="G45" s="503"/>
      <c r="H45" s="503"/>
      <c r="I45" s="503"/>
      <c r="J45" s="457">
        <f t="shared" si="13"/>
        <v>0</v>
      </c>
    </row>
    <row r="46" spans="2:10" ht="18" hidden="1" customHeight="1" outlineLevel="1" x14ac:dyDescent="0.3">
      <c r="B46" s="125" t="s">
        <v>255</v>
      </c>
      <c r="C46" s="459"/>
      <c r="D46" s="459"/>
      <c r="E46" s="459"/>
      <c r="F46" s="459"/>
      <c r="G46" s="459"/>
      <c r="H46" s="459"/>
      <c r="I46" s="459"/>
      <c r="J46" s="456">
        <f t="shared" si="13"/>
        <v>0</v>
      </c>
    </row>
    <row r="47" spans="2:10" ht="18" hidden="1" customHeight="1" outlineLevel="1" x14ac:dyDescent="0.3">
      <c r="B47" s="124" t="s">
        <v>254</v>
      </c>
      <c r="C47" s="503"/>
      <c r="D47" s="503"/>
      <c r="E47" s="503"/>
      <c r="F47" s="503"/>
      <c r="G47" s="503"/>
      <c r="H47" s="503"/>
      <c r="I47" s="503"/>
      <c r="J47" s="457">
        <f t="shared" si="13"/>
        <v>0</v>
      </c>
    </row>
    <row r="48" spans="2:10" ht="18" hidden="1" customHeight="1" outlineLevel="1" x14ac:dyDescent="0.3">
      <c r="B48" s="124" t="s">
        <v>265</v>
      </c>
      <c r="C48" s="503"/>
      <c r="D48" s="503"/>
      <c r="E48" s="503"/>
      <c r="F48" s="503"/>
      <c r="G48" s="503"/>
      <c r="H48" s="503"/>
      <c r="I48" s="503"/>
      <c r="J48" s="457">
        <f t="shared" si="13"/>
        <v>0</v>
      </c>
    </row>
    <row r="49" spans="2:10" ht="18" hidden="1" customHeight="1" outlineLevel="1" x14ac:dyDescent="0.3">
      <c r="B49" s="123" t="s">
        <v>252</v>
      </c>
      <c r="C49" s="458">
        <f t="shared" ref="C49:I49" si="15">SUM(C38+C39+C40-C41-C42-C43-C44-C45+C46-C47)</f>
        <v>3.9700749375000002</v>
      </c>
      <c r="D49" s="458">
        <f t="shared" si="15"/>
        <v>99.251873437499995</v>
      </c>
      <c r="E49" s="458">
        <f t="shared" si="15"/>
        <v>0</v>
      </c>
      <c r="F49" s="458">
        <f t="shared" si="15"/>
        <v>0</v>
      </c>
      <c r="G49" s="458">
        <f t="shared" si="15"/>
        <v>0</v>
      </c>
      <c r="H49" s="458">
        <f t="shared" si="15"/>
        <v>0</v>
      </c>
      <c r="I49" s="458">
        <f t="shared" si="15"/>
        <v>74.438905078124989</v>
      </c>
      <c r="J49" s="458">
        <f t="shared" si="13"/>
        <v>177.66085345312499</v>
      </c>
    </row>
    <row r="50" spans="2:10" ht="18" hidden="1" customHeight="1" outlineLevel="1" x14ac:dyDescent="0.3">
      <c r="B50" s="121" t="s">
        <v>251</v>
      </c>
      <c r="C50" s="459"/>
      <c r="D50" s="459"/>
      <c r="E50" s="459"/>
      <c r="F50" s="459"/>
      <c r="G50" s="459"/>
      <c r="H50" s="459"/>
      <c r="I50" s="459"/>
      <c r="J50" s="459">
        <f t="shared" si="13"/>
        <v>0</v>
      </c>
    </row>
    <row r="51" spans="2:10" ht="18" hidden="1" customHeight="1" outlineLevel="1" x14ac:dyDescent="0.3">
      <c r="B51" s="122" t="s">
        <v>22</v>
      </c>
      <c r="C51" s="460">
        <f t="shared" ref="C51:I51" si="16">SUM(C49-C50)</f>
        <v>3.9700749375000002</v>
      </c>
      <c r="D51" s="460">
        <f t="shared" si="16"/>
        <v>99.251873437499995</v>
      </c>
      <c r="E51" s="460">
        <f t="shared" si="16"/>
        <v>0</v>
      </c>
      <c r="F51" s="460">
        <f t="shared" si="16"/>
        <v>0</v>
      </c>
      <c r="G51" s="460">
        <f t="shared" si="16"/>
        <v>0</v>
      </c>
      <c r="H51" s="460">
        <f t="shared" si="16"/>
        <v>0</v>
      </c>
      <c r="I51" s="460">
        <f t="shared" si="16"/>
        <v>74.438905078124989</v>
      </c>
      <c r="J51" s="460">
        <f t="shared" si="13"/>
        <v>177.66085345312499</v>
      </c>
    </row>
    <row r="52" spans="2:10" ht="18" hidden="1" customHeight="1" outlineLevel="1" x14ac:dyDescent="0.3">
      <c r="B52" s="121" t="s">
        <v>250</v>
      </c>
      <c r="C52" s="504"/>
      <c r="D52" s="504"/>
      <c r="E52" s="504"/>
      <c r="F52" s="504"/>
      <c r="G52" s="504"/>
      <c r="H52" s="504"/>
      <c r="I52" s="504"/>
      <c r="J52" s="461">
        <f t="shared" si="13"/>
        <v>0</v>
      </c>
    </row>
    <row r="53" spans="2:10" ht="18" hidden="1" customHeight="1" outlineLevel="1" thickBot="1" x14ac:dyDescent="0.35">
      <c r="B53" s="120" t="s">
        <v>186</v>
      </c>
      <c r="C53" s="505">
        <f>C49*C$3</f>
        <v>3.9700749375000002</v>
      </c>
      <c r="D53" s="505">
        <f t="shared" ref="D53:I53" si="17">D49*D$3</f>
        <v>79.401498750000002</v>
      </c>
      <c r="E53" s="505">
        <f t="shared" si="17"/>
        <v>0</v>
      </c>
      <c r="F53" s="505">
        <f t="shared" si="17"/>
        <v>0</v>
      </c>
      <c r="G53" s="505">
        <f t="shared" si="17"/>
        <v>0</v>
      </c>
      <c r="H53" s="505">
        <f t="shared" si="17"/>
        <v>0</v>
      </c>
      <c r="I53" s="505">
        <f t="shared" si="17"/>
        <v>14.887781015624999</v>
      </c>
      <c r="J53" s="461">
        <f t="shared" si="13"/>
        <v>98.259354703124998</v>
      </c>
    </row>
    <row r="54" spans="2:10" ht="18.600000000000001" collapsed="1" thickBot="1" x14ac:dyDescent="0.4">
      <c r="B54" s="127" t="s">
        <v>274</v>
      </c>
      <c r="C54" s="454">
        <f t="shared" ref="C54:I54" si="18">SUM(C49+C52)</f>
        <v>3.9700749375000002</v>
      </c>
      <c r="D54" s="454">
        <f t="shared" si="18"/>
        <v>99.251873437499995</v>
      </c>
      <c r="E54" s="454">
        <f t="shared" si="18"/>
        <v>0</v>
      </c>
      <c r="F54" s="454">
        <f t="shared" si="18"/>
        <v>0</v>
      </c>
      <c r="G54" s="454">
        <f t="shared" si="18"/>
        <v>0</v>
      </c>
      <c r="H54" s="454">
        <f t="shared" si="18"/>
        <v>0</v>
      </c>
      <c r="I54" s="454">
        <f t="shared" si="18"/>
        <v>74.438905078124989</v>
      </c>
      <c r="J54" s="454">
        <f t="shared" si="13"/>
        <v>177.66085345312499</v>
      </c>
    </row>
    <row r="55" spans="2:10" ht="25.05" hidden="1" customHeight="1" outlineLevel="1" x14ac:dyDescent="0.3">
      <c r="B55" s="126" t="s">
        <v>266</v>
      </c>
      <c r="C55" s="455">
        <f t="shared" ref="C55:J55" si="19">SUM(C54)</f>
        <v>3.9700749375000002</v>
      </c>
      <c r="D55" s="455">
        <f t="shared" si="19"/>
        <v>99.251873437499995</v>
      </c>
      <c r="E55" s="455">
        <f t="shared" si="19"/>
        <v>0</v>
      </c>
      <c r="F55" s="455">
        <f t="shared" si="19"/>
        <v>0</v>
      </c>
      <c r="G55" s="455">
        <f t="shared" si="19"/>
        <v>0</v>
      </c>
      <c r="H55" s="455">
        <f t="shared" si="19"/>
        <v>0</v>
      </c>
      <c r="I55" s="455">
        <f t="shared" si="19"/>
        <v>74.438905078124989</v>
      </c>
      <c r="J55" s="455">
        <f t="shared" si="19"/>
        <v>177.66085345312499</v>
      </c>
    </row>
    <row r="56" spans="2:10" ht="18" hidden="1" customHeight="1" outlineLevel="1" x14ac:dyDescent="0.3">
      <c r="B56" s="123" t="s">
        <v>262</v>
      </c>
      <c r="C56" s="502"/>
      <c r="D56" s="502"/>
      <c r="E56" s="502"/>
      <c r="F56" s="502"/>
      <c r="G56" s="502"/>
      <c r="H56" s="502"/>
      <c r="I56" s="459"/>
      <c r="J56" s="456">
        <f t="shared" ref="J56:J71" si="20">SUM(C56:I56)</f>
        <v>0</v>
      </c>
    </row>
    <row r="57" spans="2:10" ht="18" hidden="1" customHeight="1" outlineLevel="1" x14ac:dyDescent="0.3">
      <c r="B57" s="123" t="s">
        <v>261</v>
      </c>
      <c r="C57" s="459"/>
      <c r="D57" s="459"/>
      <c r="E57" s="459"/>
      <c r="F57" s="459"/>
      <c r="G57" s="459"/>
      <c r="H57" s="459"/>
      <c r="I57" s="459"/>
      <c r="J57" s="456">
        <f t="shared" si="20"/>
        <v>0</v>
      </c>
    </row>
    <row r="58" spans="2:10" ht="18" hidden="1" customHeight="1" outlineLevel="1" x14ac:dyDescent="0.3">
      <c r="B58" s="124" t="s">
        <v>260</v>
      </c>
      <c r="C58" s="503">
        <f>C55*$M$3</f>
        <v>9.9251873437500009E-3</v>
      </c>
      <c r="D58" s="503">
        <f t="shared" ref="D58:I58" si="21">D55*$M$3</f>
        <v>0.24812968359374998</v>
      </c>
      <c r="E58" s="503">
        <f t="shared" si="21"/>
        <v>0</v>
      </c>
      <c r="F58" s="503">
        <f t="shared" si="21"/>
        <v>0</v>
      </c>
      <c r="G58" s="503">
        <f t="shared" si="21"/>
        <v>0</v>
      </c>
      <c r="H58" s="503">
        <f t="shared" si="21"/>
        <v>0</v>
      </c>
      <c r="I58" s="503">
        <f t="shared" si="21"/>
        <v>0.18609726269531249</v>
      </c>
      <c r="J58" s="457">
        <f t="shared" si="20"/>
        <v>0.44415213363281247</v>
      </c>
    </row>
    <row r="59" spans="2:10" ht="18" hidden="1" customHeight="1" outlineLevel="1" x14ac:dyDescent="0.3">
      <c r="B59" s="124" t="s">
        <v>259</v>
      </c>
      <c r="C59" s="503"/>
      <c r="D59" s="503"/>
      <c r="E59" s="503"/>
      <c r="F59" s="503"/>
      <c r="G59" s="503"/>
      <c r="H59" s="503"/>
      <c r="I59" s="503"/>
      <c r="J59" s="457">
        <f t="shared" si="20"/>
        <v>0</v>
      </c>
    </row>
    <row r="60" spans="2:10" ht="18" hidden="1" customHeight="1" outlineLevel="1" x14ac:dyDescent="0.3">
      <c r="B60" s="124" t="s">
        <v>258</v>
      </c>
      <c r="C60" s="503"/>
      <c r="D60" s="503"/>
      <c r="E60" s="503"/>
      <c r="F60" s="503"/>
      <c r="G60" s="503"/>
      <c r="H60" s="503"/>
      <c r="I60" s="503"/>
      <c r="J60" s="457">
        <f t="shared" si="20"/>
        <v>0</v>
      </c>
    </row>
    <row r="61" spans="2:10" ht="18" hidden="1" customHeight="1" outlineLevel="1" x14ac:dyDescent="0.3">
      <c r="B61" s="124" t="s">
        <v>257</v>
      </c>
      <c r="C61" s="503"/>
      <c r="D61" s="503"/>
      <c r="E61" s="503"/>
      <c r="F61" s="503"/>
      <c r="G61" s="503"/>
      <c r="H61" s="503"/>
      <c r="I61" s="503"/>
      <c r="J61" s="457">
        <f t="shared" si="20"/>
        <v>0</v>
      </c>
    </row>
    <row r="62" spans="2:10" ht="18" hidden="1" customHeight="1" outlineLevel="1" x14ac:dyDescent="0.3">
      <c r="B62" s="124" t="s">
        <v>256</v>
      </c>
      <c r="C62" s="503"/>
      <c r="D62" s="503"/>
      <c r="E62" s="503"/>
      <c r="F62" s="503"/>
      <c r="G62" s="503"/>
      <c r="H62" s="503"/>
      <c r="I62" s="503"/>
      <c r="J62" s="457">
        <f t="shared" si="20"/>
        <v>0</v>
      </c>
    </row>
    <row r="63" spans="2:10" ht="18" hidden="1" customHeight="1" outlineLevel="1" x14ac:dyDescent="0.3">
      <c r="B63" s="125" t="s">
        <v>255</v>
      </c>
      <c r="C63" s="459"/>
      <c r="D63" s="459"/>
      <c r="E63" s="459"/>
      <c r="F63" s="459"/>
      <c r="G63" s="459">
        <f>H64</f>
        <v>0</v>
      </c>
      <c r="H63" s="459"/>
      <c r="I63" s="459"/>
      <c r="J63" s="456">
        <f t="shared" si="20"/>
        <v>0</v>
      </c>
    </row>
    <row r="64" spans="2:10" ht="18" hidden="1" customHeight="1" outlineLevel="1" x14ac:dyDescent="0.3">
      <c r="B64" s="124" t="s">
        <v>254</v>
      </c>
      <c r="C64" s="503"/>
      <c r="D64" s="503"/>
      <c r="E64" s="503"/>
      <c r="F64" s="503"/>
      <c r="G64" s="503"/>
      <c r="H64" s="503">
        <f>H55-H58</f>
        <v>0</v>
      </c>
      <c r="I64" s="503"/>
      <c r="J64" s="457">
        <f t="shared" si="20"/>
        <v>0</v>
      </c>
    </row>
    <row r="65" spans="2:12" ht="18" hidden="1" customHeight="1" outlineLevel="1" x14ac:dyDescent="0.3">
      <c r="B65" s="124" t="s">
        <v>265</v>
      </c>
      <c r="C65" s="503"/>
      <c r="D65" s="503"/>
      <c r="E65" s="503"/>
      <c r="F65" s="503"/>
      <c r="G65" s="503"/>
      <c r="H65" s="503"/>
      <c r="I65" s="503"/>
      <c r="J65" s="457">
        <f t="shared" si="20"/>
        <v>0</v>
      </c>
    </row>
    <row r="66" spans="2:12" ht="18" hidden="1" customHeight="1" outlineLevel="1" x14ac:dyDescent="0.3">
      <c r="B66" s="123" t="s">
        <v>252</v>
      </c>
      <c r="C66" s="458">
        <f t="shared" ref="C66:I66" si="22">SUM(C55+C56+C57-C58-C59-C60-C61-C62+C63-C64)</f>
        <v>3.9601497501562504</v>
      </c>
      <c r="D66" s="458">
        <f t="shared" si="22"/>
        <v>99.003743753906249</v>
      </c>
      <c r="E66" s="458">
        <f t="shared" si="22"/>
        <v>0</v>
      </c>
      <c r="F66" s="458">
        <f t="shared" si="22"/>
        <v>0</v>
      </c>
      <c r="G66" s="458">
        <f t="shared" si="22"/>
        <v>0</v>
      </c>
      <c r="H66" s="458">
        <f t="shared" si="22"/>
        <v>0</v>
      </c>
      <c r="I66" s="458">
        <f t="shared" si="22"/>
        <v>74.252807815429676</v>
      </c>
      <c r="J66" s="458">
        <f t="shared" si="20"/>
        <v>177.21670131949219</v>
      </c>
    </row>
    <row r="67" spans="2:12" ht="18" hidden="1" customHeight="1" outlineLevel="1" x14ac:dyDescent="0.3">
      <c r="B67" s="121" t="s">
        <v>251</v>
      </c>
      <c r="C67" s="459"/>
      <c r="D67" s="459"/>
      <c r="E67" s="459"/>
      <c r="F67" s="459"/>
      <c r="G67" s="459"/>
      <c r="H67" s="459"/>
      <c r="I67" s="459"/>
      <c r="J67" s="459">
        <f t="shared" si="20"/>
        <v>0</v>
      </c>
    </row>
    <row r="68" spans="2:12" ht="18" hidden="1" customHeight="1" outlineLevel="1" x14ac:dyDescent="0.3">
      <c r="B68" s="122" t="s">
        <v>22</v>
      </c>
      <c r="C68" s="460">
        <f t="shared" ref="C68:I68" si="23">SUM(C66-C67)</f>
        <v>3.9601497501562504</v>
      </c>
      <c r="D68" s="460">
        <f t="shared" si="23"/>
        <v>99.003743753906249</v>
      </c>
      <c r="E68" s="460">
        <f t="shared" si="23"/>
        <v>0</v>
      </c>
      <c r="F68" s="460">
        <f t="shared" si="23"/>
        <v>0</v>
      </c>
      <c r="G68" s="460">
        <f t="shared" si="23"/>
        <v>0</v>
      </c>
      <c r="H68" s="460">
        <f t="shared" si="23"/>
        <v>0</v>
      </c>
      <c r="I68" s="460">
        <f t="shared" si="23"/>
        <v>74.252807815429676</v>
      </c>
      <c r="J68" s="460">
        <f t="shared" si="20"/>
        <v>177.21670131949219</v>
      </c>
    </row>
    <row r="69" spans="2:12" ht="18" hidden="1" customHeight="1" outlineLevel="1" x14ac:dyDescent="0.3">
      <c r="B69" s="121" t="s">
        <v>250</v>
      </c>
      <c r="C69" s="504"/>
      <c r="D69" s="504"/>
      <c r="E69" s="504"/>
      <c r="F69" s="504"/>
      <c r="G69" s="504"/>
      <c r="H69" s="504"/>
      <c r="I69" s="504"/>
      <c r="J69" s="461">
        <f t="shared" si="20"/>
        <v>0</v>
      </c>
    </row>
    <row r="70" spans="2:12" ht="18" hidden="1" customHeight="1" outlineLevel="1" thickBot="1" x14ac:dyDescent="0.35">
      <c r="B70" s="120" t="s">
        <v>186</v>
      </c>
      <c r="C70" s="505">
        <f>C66*C$3</f>
        <v>3.9601497501562504</v>
      </c>
      <c r="D70" s="505">
        <f t="shared" ref="D70:I70" si="24">D66*D$3</f>
        <v>79.202995003125011</v>
      </c>
      <c r="E70" s="505">
        <f t="shared" si="24"/>
        <v>0</v>
      </c>
      <c r="F70" s="505">
        <f t="shared" si="24"/>
        <v>0</v>
      </c>
      <c r="G70" s="505">
        <f t="shared" si="24"/>
        <v>0</v>
      </c>
      <c r="H70" s="505">
        <f t="shared" si="24"/>
        <v>0</v>
      </c>
      <c r="I70" s="505">
        <f t="shared" si="24"/>
        <v>14.850561563085936</v>
      </c>
      <c r="J70" s="461">
        <f t="shared" si="20"/>
        <v>98.013706316367191</v>
      </c>
    </row>
    <row r="71" spans="2:12" ht="20.100000000000001" customHeight="1" collapsed="1" thickBot="1" x14ac:dyDescent="0.4">
      <c r="B71" s="127" t="s">
        <v>273</v>
      </c>
      <c r="C71" s="454">
        <f t="shared" ref="C71:I71" si="25">SUM(C66+C69)</f>
        <v>3.9601497501562504</v>
      </c>
      <c r="D71" s="454">
        <f t="shared" si="25"/>
        <v>99.003743753906249</v>
      </c>
      <c r="E71" s="454">
        <f t="shared" si="25"/>
        <v>0</v>
      </c>
      <c r="F71" s="454">
        <f t="shared" si="25"/>
        <v>0</v>
      </c>
      <c r="G71" s="454">
        <f t="shared" si="25"/>
        <v>0</v>
      </c>
      <c r="H71" s="454">
        <f t="shared" si="25"/>
        <v>0</v>
      </c>
      <c r="I71" s="454">
        <f t="shared" si="25"/>
        <v>74.252807815429676</v>
      </c>
      <c r="J71" s="454">
        <f t="shared" si="20"/>
        <v>177.21670131949219</v>
      </c>
      <c r="L71" s="517"/>
    </row>
    <row r="72" spans="2:12" ht="25.05" hidden="1" customHeight="1" outlineLevel="1" x14ac:dyDescent="0.3">
      <c r="B72" s="126" t="s">
        <v>266</v>
      </c>
      <c r="C72" s="455">
        <f t="shared" ref="C72:J72" si="26">SUM(C71)</f>
        <v>3.9601497501562504</v>
      </c>
      <c r="D72" s="455">
        <f t="shared" si="26"/>
        <v>99.003743753906249</v>
      </c>
      <c r="E72" s="455">
        <f t="shared" si="26"/>
        <v>0</v>
      </c>
      <c r="F72" s="455">
        <f t="shared" si="26"/>
        <v>0</v>
      </c>
      <c r="G72" s="455">
        <f t="shared" si="26"/>
        <v>0</v>
      </c>
      <c r="H72" s="455">
        <f t="shared" si="26"/>
        <v>0</v>
      </c>
      <c r="I72" s="455">
        <f t="shared" si="26"/>
        <v>74.252807815429676</v>
      </c>
      <c r="J72" s="455">
        <f t="shared" si="26"/>
        <v>177.21670131949219</v>
      </c>
    </row>
    <row r="73" spans="2:12" ht="18" hidden="1" customHeight="1" outlineLevel="1" thickBot="1" x14ac:dyDescent="0.35">
      <c r="B73" s="123" t="s">
        <v>262</v>
      </c>
      <c r="C73" s="502"/>
      <c r="D73" s="502"/>
      <c r="E73" s="502"/>
      <c r="F73" s="502"/>
      <c r="G73" s="502"/>
      <c r="H73" s="502"/>
      <c r="I73" s="459"/>
      <c r="J73" s="456">
        <f t="shared" ref="J73:J88" si="27">SUM(C73:I73)</f>
        <v>0</v>
      </c>
    </row>
    <row r="74" spans="2:12" ht="18" hidden="1" customHeight="1" outlineLevel="1" thickBot="1" x14ac:dyDescent="0.35">
      <c r="B74" s="123" t="s">
        <v>261</v>
      </c>
      <c r="C74" s="454"/>
      <c r="D74" s="454"/>
      <c r="E74" s="454"/>
      <c r="F74" s="454"/>
      <c r="G74" s="454"/>
      <c r="H74" s="454"/>
      <c r="I74" s="454"/>
      <c r="J74" s="456">
        <f t="shared" si="27"/>
        <v>0</v>
      </c>
    </row>
    <row r="75" spans="2:12" ht="18" hidden="1" customHeight="1" outlineLevel="1" x14ac:dyDescent="0.3">
      <c r="B75" s="124" t="s">
        <v>260</v>
      </c>
      <c r="C75" s="503">
        <f>C72*$M$3</f>
        <v>9.9003743753906265E-3</v>
      </c>
      <c r="D75" s="503">
        <f t="shared" ref="D75:I75" si="28">D72*$M$3</f>
        <v>0.24750935938476562</v>
      </c>
      <c r="E75" s="503">
        <f t="shared" si="28"/>
        <v>0</v>
      </c>
      <c r="F75" s="503">
        <f t="shared" si="28"/>
        <v>0</v>
      </c>
      <c r="G75" s="503">
        <f t="shared" si="28"/>
        <v>0</v>
      </c>
      <c r="H75" s="503">
        <f t="shared" si="28"/>
        <v>0</v>
      </c>
      <c r="I75" s="503">
        <f t="shared" si="28"/>
        <v>0.18563201953857419</v>
      </c>
      <c r="J75" s="457">
        <f t="shared" si="27"/>
        <v>0.44304175329873041</v>
      </c>
    </row>
    <row r="76" spans="2:12" ht="18" hidden="1" customHeight="1" outlineLevel="1" x14ac:dyDescent="0.3">
      <c r="B76" s="124" t="s">
        <v>259</v>
      </c>
      <c r="C76" s="503"/>
      <c r="D76" s="503"/>
      <c r="E76" s="503"/>
      <c r="F76" s="503"/>
      <c r="G76" s="503"/>
      <c r="H76" s="503"/>
      <c r="I76" s="503"/>
      <c r="J76" s="457">
        <f t="shared" si="27"/>
        <v>0</v>
      </c>
    </row>
    <row r="77" spans="2:12" ht="18" hidden="1" customHeight="1" outlineLevel="1" x14ac:dyDescent="0.3">
      <c r="B77" s="124" t="s">
        <v>258</v>
      </c>
      <c r="C77" s="503"/>
      <c r="D77" s="503">
        <v>12</v>
      </c>
      <c r="E77" s="503"/>
      <c r="F77" s="503"/>
      <c r="G77" s="503"/>
      <c r="H77" s="503"/>
      <c r="I77" s="503"/>
      <c r="J77" s="457">
        <f t="shared" si="27"/>
        <v>12</v>
      </c>
    </row>
    <row r="78" spans="2:12" ht="18" hidden="1" customHeight="1" outlineLevel="1" x14ac:dyDescent="0.3">
      <c r="B78" s="124" t="s">
        <v>257</v>
      </c>
      <c r="C78" s="503"/>
      <c r="D78" s="503"/>
      <c r="E78" s="503"/>
      <c r="F78" s="503"/>
      <c r="G78" s="503"/>
      <c r="H78" s="503"/>
      <c r="I78" s="503"/>
      <c r="J78" s="457">
        <f t="shared" si="27"/>
        <v>0</v>
      </c>
    </row>
    <row r="79" spans="2:12" ht="18" hidden="1" customHeight="1" outlineLevel="1" x14ac:dyDescent="0.3">
      <c r="B79" s="124" t="s">
        <v>256</v>
      </c>
      <c r="C79" s="503"/>
      <c r="D79" s="503"/>
      <c r="E79" s="503"/>
      <c r="F79" s="503"/>
      <c r="G79" s="503"/>
      <c r="H79" s="503"/>
      <c r="I79" s="503"/>
      <c r="J79" s="457">
        <f t="shared" si="27"/>
        <v>0</v>
      </c>
    </row>
    <row r="80" spans="2:12" ht="18" hidden="1" customHeight="1" outlineLevel="1" x14ac:dyDescent="0.3">
      <c r="B80" s="125" t="s">
        <v>255</v>
      </c>
      <c r="C80" s="459"/>
      <c r="D80" s="459"/>
      <c r="E80" s="459"/>
      <c r="F80" s="459"/>
      <c r="G80" s="459"/>
      <c r="H80" s="459"/>
      <c r="I80" s="459"/>
      <c r="J80" s="456">
        <f t="shared" si="27"/>
        <v>0</v>
      </c>
    </row>
    <row r="81" spans="2:10" ht="18" hidden="1" customHeight="1" outlineLevel="1" x14ac:dyDescent="0.3">
      <c r="B81" s="124" t="s">
        <v>254</v>
      </c>
      <c r="C81" s="503"/>
      <c r="D81" s="503"/>
      <c r="E81" s="503"/>
      <c r="F81" s="503"/>
      <c r="G81" s="503"/>
      <c r="H81" s="503"/>
      <c r="I81" s="503"/>
      <c r="J81" s="457">
        <f t="shared" si="27"/>
        <v>0</v>
      </c>
    </row>
    <row r="82" spans="2:10" ht="18" hidden="1" customHeight="1" outlineLevel="1" x14ac:dyDescent="0.3">
      <c r="B82" s="124" t="s">
        <v>265</v>
      </c>
      <c r="C82" s="503"/>
      <c r="D82" s="503"/>
      <c r="E82" s="503"/>
      <c r="F82" s="503"/>
      <c r="G82" s="503"/>
      <c r="H82" s="503"/>
      <c r="I82" s="503"/>
      <c r="J82" s="457">
        <f t="shared" si="27"/>
        <v>0</v>
      </c>
    </row>
    <row r="83" spans="2:10" ht="18" hidden="1" customHeight="1" outlineLevel="1" x14ac:dyDescent="0.3">
      <c r="B83" s="123" t="s">
        <v>252</v>
      </c>
      <c r="C83" s="458">
        <f t="shared" ref="C83:I83" si="29">SUM(C72+C73+C74-C75-C76-C77-C78-C79+C80-C81)</f>
        <v>3.9502493757808597</v>
      </c>
      <c r="D83" s="458">
        <f>SUM(D72+D73+D74-D75-D76-D77-D78-D79+D80-D81)</f>
        <v>86.756234394521485</v>
      </c>
      <c r="E83" s="458">
        <f>SUM(E72+E73+E74-E75-E76-E77-E78-E79+E80-E81)</f>
        <v>0</v>
      </c>
      <c r="F83" s="458">
        <f t="shared" si="29"/>
        <v>0</v>
      </c>
      <c r="G83" s="458">
        <f t="shared" si="29"/>
        <v>0</v>
      </c>
      <c r="H83" s="458">
        <f t="shared" si="29"/>
        <v>0</v>
      </c>
      <c r="I83" s="458">
        <f t="shared" si="29"/>
        <v>74.067175795891103</v>
      </c>
      <c r="J83" s="458">
        <f t="shared" si="27"/>
        <v>164.77365956619343</v>
      </c>
    </row>
    <row r="84" spans="2:10" ht="18" hidden="1" customHeight="1" outlineLevel="1" x14ac:dyDescent="0.3">
      <c r="B84" s="121" t="s">
        <v>251</v>
      </c>
      <c r="C84" s="459"/>
      <c r="D84" s="459"/>
      <c r="E84" s="459"/>
      <c r="F84" s="459"/>
      <c r="G84" s="459"/>
      <c r="H84" s="459"/>
      <c r="I84" s="459"/>
      <c r="J84" s="459">
        <f t="shared" si="27"/>
        <v>0</v>
      </c>
    </row>
    <row r="85" spans="2:10" ht="18" hidden="1" customHeight="1" outlineLevel="1" x14ac:dyDescent="0.3">
      <c r="B85" s="122" t="s">
        <v>22</v>
      </c>
      <c r="C85" s="460">
        <f t="shared" ref="C85:I85" si="30">SUM(C83-C84)</f>
        <v>3.9502493757808597</v>
      </c>
      <c r="D85" s="460">
        <f t="shared" si="30"/>
        <v>86.756234394521485</v>
      </c>
      <c r="E85" s="460">
        <f t="shared" si="30"/>
        <v>0</v>
      </c>
      <c r="F85" s="460">
        <f t="shared" si="30"/>
        <v>0</v>
      </c>
      <c r="G85" s="460">
        <f t="shared" si="30"/>
        <v>0</v>
      </c>
      <c r="H85" s="460">
        <f t="shared" si="30"/>
        <v>0</v>
      </c>
      <c r="I85" s="460">
        <f t="shared" si="30"/>
        <v>74.067175795891103</v>
      </c>
      <c r="J85" s="460">
        <f t="shared" si="27"/>
        <v>164.77365956619343</v>
      </c>
    </row>
    <row r="86" spans="2:10" ht="18" hidden="1" customHeight="1" outlineLevel="1" x14ac:dyDescent="0.3">
      <c r="B86" s="121" t="s">
        <v>250</v>
      </c>
      <c r="C86" s="504"/>
      <c r="D86" s="504"/>
      <c r="E86" s="504"/>
      <c r="F86" s="504"/>
      <c r="G86" s="504"/>
      <c r="H86" s="504"/>
      <c r="I86" s="504"/>
      <c r="J86" s="461">
        <f t="shared" si="27"/>
        <v>0</v>
      </c>
    </row>
    <row r="87" spans="2:10" ht="18" hidden="1" customHeight="1" outlineLevel="1" thickBot="1" x14ac:dyDescent="0.35">
      <c r="B87" s="120" t="s">
        <v>186</v>
      </c>
      <c r="C87" s="505">
        <f>C83*C$3</f>
        <v>3.9502493757808597</v>
      </c>
      <c r="D87" s="505">
        <f t="shared" ref="D87:I87" si="31">D83*D$3</f>
        <v>69.404987515617194</v>
      </c>
      <c r="E87" s="505">
        <f t="shared" si="31"/>
        <v>0</v>
      </c>
      <c r="F87" s="505">
        <f t="shared" si="31"/>
        <v>0</v>
      </c>
      <c r="G87" s="505">
        <f t="shared" si="31"/>
        <v>0</v>
      </c>
      <c r="H87" s="505">
        <f t="shared" si="31"/>
        <v>0</v>
      </c>
      <c r="I87" s="505">
        <f t="shared" si="31"/>
        <v>14.813435159178221</v>
      </c>
      <c r="J87" s="461">
        <f t="shared" si="27"/>
        <v>88.168672050576276</v>
      </c>
    </row>
    <row r="88" spans="2:10" ht="20.100000000000001" customHeight="1" collapsed="1" thickBot="1" x14ac:dyDescent="0.4">
      <c r="B88" s="127" t="s">
        <v>3</v>
      </c>
      <c r="C88" s="454">
        <f t="shared" ref="C88:I88" si="32">SUM(C83+C86)</f>
        <v>3.9502493757808597</v>
      </c>
      <c r="D88" s="454">
        <f t="shared" si="32"/>
        <v>86.756234394521485</v>
      </c>
      <c r="E88" s="454">
        <f t="shared" si="32"/>
        <v>0</v>
      </c>
      <c r="F88" s="454">
        <f t="shared" si="32"/>
        <v>0</v>
      </c>
      <c r="G88" s="454">
        <f t="shared" si="32"/>
        <v>0</v>
      </c>
      <c r="H88" s="454">
        <f t="shared" si="32"/>
        <v>0</v>
      </c>
      <c r="I88" s="454">
        <f t="shared" si="32"/>
        <v>74.067175795891103</v>
      </c>
      <c r="J88" s="454">
        <f t="shared" si="27"/>
        <v>164.77365956619343</v>
      </c>
    </row>
    <row r="89" spans="2:10" ht="25.05" hidden="1" customHeight="1" outlineLevel="1" x14ac:dyDescent="0.3">
      <c r="B89" s="126" t="s">
        <v>266</v>
      </c>
      <c r="C89" s="455">
        <f t="shared" ref="C89:J89" si="33">SUM(C88)</f>
        <v>3.9502493757808597</v>
      </c>
      <c r="D89" s="455">
        <f t="shared" si="33"/>
        <v>86.756234394521485</v>
      </c>
      <c r="E89" s="455">
        <f t="shared" si="33"/>
        <v>0</v>
      </c>
      <c r="F89" s="455">
        <f t="shared" si="33"/>
        <v>0</v>
      </c>
      <c r="G89" s="455">
        <f t="shared" si="33"/>
        <v>0</v>
      </c>
      <c r="H89" s="455">
        <f t="shared" si="33"/>
        <v>0</v>
      </c>
      <c r="I89" s="455">
        <f t="shared" si="33"/>
        <v>74.067175795891103</v>
      </c>
      <c r="J89" s="455">
        <f t="shared" si="33"/>
        <v>164.77365956619343</v>
      </c>
    </row>
    <row r="90" spans="2:10" ht="18" hidden="1" customHeight="1" outlineLevel="1" x14ac:dyDescent="0.3">
      <c r="B90" s="123" t="s">
        <v>262</v>
      </c>
      <c r="C90" s="502"/>
      <c r="D90" s="502"/>
      <c r="E90" s="502"/>
      <c r="F90" s="502"/>
      <c r="G90" s="502"/>
      <c r="H90" s="502"/>
      <c r="I90" s="459"/>
      <c r="J90" s="456">
        <f t="shared" ref="J90:J105" si="34">SUM(C90:I90)</f>
        <v>0</v>
      </c>
    </row>
    <row r="91" spans="2:10" ht="18" hidden="1" customHeight="1" outlineLevel="1" x14ac:dyDescent="0.3">
      <c r="B91" s="123" t="s">
        <v>261</v>
      </c>
      <c r="C91" s="459"/>
      <c r="D91" s="459"/>
      <c r="E91" s="459"/>
      <c r="F91" s="459"/>
      <c r="G91" s="459"/>
      <c r="H91" s="459"/>
      <c r="I91" s="459"/>
      <c r="J91" s="456">
        <f t="shared" si="34"/>
        <v>0</v>
      </c>
    </row>
    <row r="92" spans="2:10" ht="18" hidden="1" customHeight="1" outlineLevel="1" x14ac:dyDescent="0.3">
      <c r="B92" s="124" t="s">
        <v>260</v>
      </c>
      <c r="C92" s="503">
        <f>C89*$M$3</f>
        <v>9.8756234394521501E-3</v>
      </c>
      <c r="D92" s="503">
        <f t="shared" ref="D92:I92" si="35">D89*$M$3</f>
        <v>0.21689058598630373</v>
      </c>
      <c r="E92" s="503">
        <f t="shared" si="35"/>
        <v>0</v>
      </c>
      <c r="F92" s="503">
        <f t="shared" si="35"/>
        <v>0</v>
      </c>
      <c r="G92" s="503">
        <f t="shared" si="35"/>
        <v>0</v>
      </c>
      <c r="H92" s="503">
        <f t="shared" si="35"/>
        <v>0</v>
      </c>
      <c r="I92" s="503">
        <f t="shared" si="35"/>
        <v>0.18516793948972776</v>
      </c>
      <c r="J92" s="457">
        <f t="shared" si="34"/>
        <v>0.41193414891548363</v>
      </c>
    </row>
    <row r="93" spans="2:10" ht="18" hidden="1" customHeight="1" outlineLevel="1" x14ac:dyDescent="0.3">
      <c r="B93" s="124" t="s">
        <v>259</v>
      </c>
      <c r="C93" s="503"/>
      <c r="D93" s="503"/>
      <c r="E93" s="503"/>
      <c r="F93" s="503"/>
      <c r="G93" s="503"/>
      <c r="H93" s="503"/>
      <c r="I93" s="503"/>
      <c r="J93" s="457">
        <f t="shared" si="34"/>
        <v>0</v>
      </c>
    </row>
    <row r="94" spans="2:10" ht="18" hidden="1" customHeight="1" outlineLevel="1" x14ac:dyDescent="0.3">
      <c r="B94" s="124" t="s">
        <v>258</v>
      </c>
      <c r="C94" s="503"/>
      <c r="D94" s="506"/>
      <c r="E94" s="503"/>
      <c r="F94" s="503"/>
      <c r="G94" s="503"/>
      <c r="H94" s="503"/>
      <c r="I94" s="503"/>
      <c r="J94" s="457">
        <f t="shared" si="34"/>
        <v>0</v>
      </c>
    </row>
    <row r="95" spans="2:10" ht="18" hidden="1" customHeight="1" outlineLevel="1" x14ac:dyDescent="0.3">
      <c r="B95" s="124" t="s">
        <v>257</v>
      </c>
      <c r="C95" s="503"/>
      <c r="D95" s="503"/>
      <c r="E95" s="503"/>
      <c r="F95" s="503"/>
      <c r="G95" s="503"/>
      <c r="H95" s="503"/>
      <c r="I95" s="503"/>
      <c r="J95" s="457">
        <f t="shared" si="34"/>
        <v>0</v>
      </c>
    </row>
    <row r="96" spans="2:10" ht="18" hidden="1" customHeight="1" outlineLevel="1" x14ac:dyDescent="0.3">
      <c r="B96" s="124" t="s">
        <v>256</v>
      </c>
      <c r="C96" s="503"/>
      <c r="D96" s="503"/>
      <c r="E96" s="503"/>
      <c r="F96" s="503"/>
      <c r="G96" s="503"/>
      <c r="H96" s="503"/>
      <c r="I96" s="503"/>
      <c r="J96" s="457">
        <f t="shared" si="34"/>
        <v>0</v>
      </c>
    </row>
    <row r="97" spans="2:10" ht="18" hidden="1" customHeight="1" outlineLevel="1" x14ac:dyDescent="0.3">
      <c r="B97" s="125" t="s">
        <v>255</v>
      </c>
      <c r="C97" s="459"/>
      <c r="D97" s="459"/>
      <c r="E97" s="459"/>
      <c r="F97" s="459"/>
      <c r="G97" s="459"/>
      <c r="H97" s="459"/>
      <c r="I97" s="459"/>
      <c r="J97" s="456">
        <f t="shared" si="34"/>
        <v>0</v>
      </c>
    </row>
    <row r="98" spans="2:10" ht="18" hidden="1" customHeight="1" outlineLevel="1" x14ac:dyDescent="0.3">
      <c r="B98" s="124" t="s">
        <v>254</v>
      </c>
      <c r="C98" s="503"/>
      <c r="D98" s="503"/>
      <c r="E98" s="503"/>
      <c r="F98" s="503"/>
      <c r="G98" s="503"/>
      <c r="H98" s="503"/>
      <c r="I98" s="503"/>
      <c r="J98" s="457">
        <f t="shared" si="34"/>
        <v>0</v>
      </c>
    </row>
    <row r="99" spans="2:10" ht="18" hidden="1" customHeight="1" outlineLevel="1" x14ac:dyDescent="0.3">
      <c r="B99" s="124" t="s">
        <v>265</v>
      </c>
      <c r="C99" s="503"/>
      <c r="D99" s="503"/>
      <c r="E99" s="503"/>
      <c r="F99" s="503"/>
      <c r="G99" s="503"/>
      <c r="H99" s="503"/>
      <c r="I99" s="503"/>
      <c r="J99" s="457">
        <f t="shared" si="34"/>
        <v>0</v>
      </c>
    </row>
    <row r="100" spans="2:10" ht="18" hidden="1" customHeight="1" outlineLevel="1" x14ac:dyDescent="0.3">
      <c r="B100" s="123" t="s">
        <v>252</v>
      </c>
      <c r="C100" s="458">
        <f t="shared" ref="C100:I100" si="36">SUM(C89+C90+C91-C92-C93-C94-C95-C96+C97-C98)</f>
        <v>3.9403737523414075</v>
      </c>
      <c r="D100" s="458">
        <f t="shared" si="36"/>
        <v>86.539343808535179</v>
      </c>
      <c r="E100" s="458">
        <f t="shared" si="36"/>
        <v>0</v>
      </c>
      <c r="F100" s="458">
        <f t="shared" si="36"/>
        <v>0</v>
      </c>
      <c r="G100" s="458">
        <f t="shared" si="36"/>
        <v>0</v>
      </c>
      <c r="H100" s="458">
        <f t="shared" si="36"/>
        <v>0</v>
      </c>
      <c r="I100" s="458">
        <f t="shared" si="36"/>
        <v>73.882007856401373</v>
      </c>
      <c r="J100" s="458">
        <f t="shared" si="34"/>
        <v>164.36172541727797</v>
      </c>
    </row>
    <row r="101" spans="2:10" ht="18" hidden="1" customHeight="1" outlineLevel="1" x14ac:dyDescent="0.3">
      <c r="B101" s="121" t="s">
        <v>251</v>
      </c>
      <c r="C101" s="459"/>
      <c r="D101" s="459"/>
      <c r="E101" s="459"/>
      <c r="F101" s="459"/>
      <c r="G101" s="459"/>
      <c r="H101" s="459"/>
      <c r="I101" s="459"/>
      <c r="J101" s="459">
        <f t="shared" si="34"/>
        <v>0</v>
      </c>
    </row>
    <row r="102" spans="2:10" ht="18" hidden="1" customHeight="1" outlineLevel="1" x14ac:dyDescent="0.3">
      <c r="B102" s="122" t="s">
        <v>22</v>
      </c>
      <c r="C102" s="460">
        <f t="shared" ref="C102:I102" si="37">SUM(C100-C101)</f>
        <v>3.9403737523414075</v>
      </c>
      <c r="D102" s="460">
        <f t="shared" si="37"/>
        <v>86.539343808535179</v>
      </c>
      <c r="E102" s="460">
        <f t="shared" si="37"/>
        <v>0</v>
      </c>
      <c r="F102" s="460">
        <f t="shared" si="37"/>
        <v>0</v>
      </c>
      <c r="G102" s="460">
        <f t="shared" si="37"/>
        <v>0</v>
      </c>
      <c r="H102" s="460">
        <f t="shared" si="37"/>
        <v>0</v>
      </c>
      <c r="I102" s="460">
        <f t="shared" si="37"/>
        <v>73.882007856401373</v>
      </c>
      <c r="J102" s="460">
        <f t="shared" si="34"/>
        <v>164.36172541727797</v>
      </c>
    </row>
    <row r="103" spans="2:10" ht="18" hidden="1" customHeight="1" outlineLevel="1" x14ac:dyDescent="0.3">
      <c r="B103" s="121" t="s">
        <v>250</v>
      </c>
      <c r="C103" s="504"/>
      <c r="D103" s="504"/>
      <c r="E103" s="504"/>
      <c r="F103" s="504"/>
      <c r="G103" s="504"/>
      <c r="H103" s="504"/>
      <c r="I103" s="504"/>
      <c r="J103" s="461">
        <f t="shared" si="34"/>
        <v>0</v>
      </c>
    </row>
    <row r="104" spans="2:10" ht="18" hidden="1" customHeight="1" outlineLevel="1" thickBot="1" x14ac:dyDescent="0.35">
      <c r="B104" s="120" t="s">
        <v>186</v>
      </c>
      <c r="C104" s="505">
        <f>C100*C$3</f>
        <v>3.9403737523414075</v>
      </c>
      <c r="D104" s="505">
        <f t="shared" ref="D104:I104" si="38">D100*D$3</f>
        <v>69.231475046828152</v>
      </c>
      <c r="E104" s="505">
        <f t="shared" si="38"/>
        <v>0</v>
      </c>
      <c r="F104" s="505">
        <f t="shared" si="38"/>
        <v>0</v>
      </c>
      <c r="G104" s="505">
        <f t="shared" si="38"/>
        <v>0</v>
      </c>
      <c r="H104" s="505">
        <f t="shared" si="38"/>
        <v>0</v>
      </c>
      <c r="I104" s="505">
        <f t="shared" si="38"/>
        <v>14.776401571280275</v>
      </c>
      <c r="J104" s="461">
        <f t="shared" si="34"/>
        <v>87.948250370449827</v>
      </c>
    </row>
    <row r="105" spans="2:10" ht="18.600000000000001" collapsed="1" thickBot="1" x14ac:dyDescent="0.4">
      <c r="B105" s="127" t="s">
        <v>272</v>
      </c>
      <c r="C105" s="454">
        <f t="shared" ref="C105:I105" si="39">SUM(C100+C103)</f>
        <v>3.9403737523414075</v>
      </c>
      <c r="D105" s="454">
        <f t="shared" si="39"/>
        <v>86.539343808535179</v>
      </c>
      <c r="E105" s="454">
        <f t="shared" si="39"/>
        <v>0</v>
      </c>
      <c r="F105" s="454">
        <f t="shared" si="39"/>
        <v>0</v>
      </c>
      <c r="G105" s="454">
        <f t="shared" si="39"/>
        <v>0</v>
      </c>
      <c r="H105" s="454">
        <f t="shared" si="39"/>
        <v>0</v>
      </c>
      <c r="I105" s="454">
        <f t="shared" si="39"/>
        <v>73.882007856401373</v>
      </c>
      <c r="J105" s="454">
        <f t="shared" si="34"/>
        <v>164.36172541727797</v>
      </c>
    </row>
    <row r="106" spans="2:10" ht="25.05" hidden="1" customHeight="1" outlineLevel="1" x14ac:dyDescent="0.3">
      <c r="B106" s="126" t="s">
        <v>266</v>
      </c>
      <c r="C106" s="455">
        <f t="shared" ref="C106:I106" si="40">SUM(C105)</f>
        <v>3.9403737523414075</v>
      </c>
      <c r="D106" s="455">
        <f t="shared" si="40"/>
        <v>86.539343808535179</v>
      </c>
      <c r="E106" s="455">
        <f t="shared" si="40"/>
        <v>0</v>
      </c>
      <c r="F106" s="455">
        <f t="shared" si="40"/>
        <v>0</v>
      </c>
      <c r="G106" s="455">
        <f t="shared" si="40"/>
        <v>0</v>
      </c>
      <c r="H106" s="455">
        <f t="shared" si="40"/>
        <v>0</v>
      </c>
      <c r="I106" s="455">
        <f t="shared" si="40"/>
        <v>73.882007856401373</v>
      </c>
      <c r="J106" s="455">
        <f>SUM(J105)</f>
        <v>164.36172541727797</v>
      </c>
    </row>
    <row r="107" spans="2:10" ht="18" hidden="1" customHeight="1" outlineLevel="1" x14ac:dyDescent="0.3">
      <c r="B107" s="123" t="s">
        <v>262</v>
      </c>
      <c r="C107" s="502"/>
      <c r="D107" s="502"/>
      <c r="E107" s="502"/>
      <c r="F107" s="502"/>
      <c r="G107" s="502"/>
      <c r="H107" s="502"/>
      <c r="I107" s="459"/>
      <c r="J107" s="456">
        <f t="shared" ref="J107:J122" si="41">SUM(C107:I107)</f>
        <v>0</v>
      </c>
    </row>
    <row r="108" spans="2:10" ht="18" hidden="1" customHeight="1" outlineLevel="1" x14ac:dyDescent="0.3">
      <c r="B108" s="123" t="s">
        <v>261</v>
      </c>
      <c r="C108" s="459"/>
      <c r="D108" s="459"/>
      <c r="E108" s="459"/>
      <c r="F108" s="459"/>
      <c r="G108" s="459"/>
      <c r="H108" s="459"/>
      <c r="I108" s="459"/>
      <c r="J108" s="456">
        <f t="shared" si="41"/>
        <v>0</v>
      </c>
    </row>
    <row r="109" spans="2:10" ht="18" hidden="1" customHeight="1" outlineLevel="1" x14ac:dyDescent="0.3">
      <c r="B109" s="124" t="s">
        <v>260</v>
      </c>
      <c r="C109" s="503">
        <f>C106*$M$3</f>
        <v>9.8509343808535193E-3</v>
      </c>
      <c r="D109" s="503">
        <f t="shared" ref="D109:I109" si="42">D106*$M$3</f>
        <v>0.21634835952133796</v>
      </c>
      <c r="E109" s="503">
        <f t="shared" si="42"/>
        <v>0</v>
      </c>
      <c r="F109" s="503">
        <f t="shared" si="42"/>
        <v>0</v>
      </c>
      <c r="G109" s="503">
        <f t="shared" si="42"/>
        <v>0</v>
      </c>
      <c r="H109" s="503">
        <f t="shared" si="42"/>
        <v>0</v>
      </c>
      <c r="I109" s="503">
        <f t="shared" si="42"/>
        <v>0.18470501964100344</v>
      </c>
      <c r="J109" s="457">
        <f t="shared" si="41"/>
        <v>0.4109043135431949</v>
      </c>
    </row>
    <row r="110" spans="2:10" ht="18" hidden="1" customHeight="1" outlineLevel="1" x14ac:dyDescent="0.3">
      <c r="B110" s="124" t="s">
        <v>259</v>
      </c>
      <c r="C110" s="503"/>
      <c r="D110" s="503"/>
      <c r="E110" s="503"/>
      <c r="F110" s="503"/>
      <c r="G110" s="503"/>
      <c r="H110" s="503"/>
      <c r="I110" s="503"/>
      <c r="J110" s="457">
        <f t="shared" si="41"/>
        <v>0</v>
      </c>
    </row>
    <row r="111" spans="2:10" ht="18" hidden="1" customHeight="1" outlineLevel="1" x14ac:dyDescent="0.3">
      <c r="B111" s="124" t="s">
        <v>258</v>
      </c>
      <c r="C111" s="503"/>
      <c r="D111" s="503"/>
      <c r="E111" s="503"/>
      <c r="F111" s="503"/>
      <c r="G111" s="503"/>
      <c r="H111" s="503"/>
      <c r="I111" s="503"/>
      <c r="J111" s="457">
        <f t="shared" si="41"/>
        <v>0</v>
      </c>
    </row>
    <row r="112" spans="2:10" ht="18" hidden="1" customHeight="1" outlineLevel="1" x14ac:dyDescent="0.3">
      <c r="B112" s="124" t="s">
        <v>257</v>
      </c>
      <c r="C112" s="503"/>
      <c r="D112" s="503"/>
      <c r="E112" s="503"/>
      <c r="F112" s="503"/>
      <c r="G112" s="503"/>
      <c r="H112" s="503"/>
      <c r="I112" s="503"/>
      <c r="J112" s="457">
        <f t="shared" si="41"/>
        <v>0</v>
      </c>
    </row>
    <row r="113" spans="2:10" ht="18" hidden="1" customHeight="1" outlineLevel="1" x14ac:dyDescent="0.3">
      <c r="B113" s="124" t="s">
        <v>256</v>
      </c>
      <c r="C113" s="503"/>
      <c r="D113" s="503"/>
      <c r="E113" s="503"/>
      <c r="F113" s="503"/>
      <c r="G113" s="503"/>
      <c r="H113" s="503"/>
      <c r="I113" s="503"/>
      <c r="J113" s="457">
        <f t="shared" si="41"/>
        <v>0</v>
      </c>
    </row>
    <row r="114" spans="2:10" ht="18" hidden="1" customHeight="1" outlineLevel="1" x14ac:dyDescent="0.3">
      <c r="B114" s="125" t="s">
        <v>255</v>
      </c>
      <c r="C114" s="459"/>
      <c r="D114" s="459"/>
      <c r="E114" s="459">
        <f>F115</f>
        <v>0</v>
      </c>
      <c r="F114" s="459">
        <f>0.5*I115</f>
        <v>36.848651418380186</v>
      </c>
      <c r="G114" s="459"/>
      <c r="H114" s="459">
        <f>0.5*I115</f>
        <v>36.848651418380186</v>
      </c>
      <c r="I114" s="459"/>
      <c r="J114" s="456">
        <f t="shared" si="41"/>
        <v>73.697302836760372</v>
      </c>
    </row>
    <row r="115" spans="2:10" ht="18" hidden="1" customHeight="1" outlineLevel="1" x14ac:dyDescent="0.3">
      <c r="B115" s="124" t="s">
        <v>254</v>
      </c>
      <c r="C115" s="503"/>
      <c r="D115" s="503"/>
      <c r="E115" s="503"/>
      <c r="F115" s="503">
        <f>F100</f>
        <v>0</v>
      </c>
      <c r="G115" s="503"/>
      <c r="H115" s="503"/>
      <c r="I115" s="503">
        <f>I106-I109</f>
        <v>73.697302836760372</v>
      </c>
      <c r="J115" s="457">
        <f t="shared" si="41"/>
        <v>73.697302836760372</v>
      </c>
    </row>
    <row r="116" spans="2:10" ht="18" hidden="1" customHeight="1" outlineLevel="1" x14ac:dyDescent="0.3">
      <c r="B116" s="124" t="s">
        <v>265</v>
      </c>
      <c r="C116" s="503"/>
      <c r="D116" s="503"/>
      <c r="E116" s="503"/>
      <c r="F116" s="503"/>
      <c r="G116" s="503"/>
      <c r="H116" s="503"/>
      <c r="I116" s="503"/>
      <c r="J116" s="457">
        <f t="shared" si="41"/>
        <v>0</v>
      </c>
    </row>
    <row r="117" spans="2:10" ht="18" hidden="1" customHeight="1" outlineLevel="1" x14ac:dyDescent="0.3">
      <c r="B117" s="123" t="s">
        <v>252</v>
      </c>
      <c r="C117" s="458">
        <f t="shared" ref="C117:I117" si="43">SUM(C106+C107+C108-C109-C110-C111-C112-C113+C114-C115)</f>
        <v>3.9305228179605538</v>
      </c>
      <c r="D117" s="458">
        <f t="shared" si="43"/>
        <v>86.322995449013845</v>
      </c>
      <c r="E117" s="458">
        <f t="shared" si="43"/>
        <v>0</v>
      </c>
      <c r="F117" s="458">
        <f t="shared" si="43"/>
        <v>36.848651418380186</v>
      </c>
      <c r="G117" s="458">
        <f t="shared" si="43"/>
        <v>0</v>
      </c>
      <c r="H117" s="458">
        <f t="shared" si="43"/>
        <v>36.848651418380186</v>
      </c>
      <c r="I117" s="458">
        <f t="shared" si="43"/>
        <v>0</v>
      </c>
      <c r="J117" s="458">
        <f t="shared" si="41"/>
        <v>163.95082110373477</v>
      </c>
    </row>
    <row r="118" spans="2:10" ht="18" hidden="1" customHeight="1" outlineLevel="1" x14ac:dyDescent="0.3">
      <c r="B118" s="121" t="s">
        <v>251</v>
      </c>
      <c r="C118" s="459"/>
      <c r="D118" s="459"/>
      <c r="E118" s="459"/>
      <c r="F118" s="459"/>
      <c r="G118" s="459"/>
      <c r="H118" s="459"/>
      <c r="I118" s="459"/>
      <c r="J118" s="459">
        <f t="shared" si="41"/>
        <v>0</v>
      </c>
    </row>
    <row r="119" spans="2:10" ht="18" hidden="1" customHeight="1" outlineLevel="1" x14ac:dyDescent="0.3">
      <c r="B119" s="122" t="s">
        <v>22</v>
      </c>
      <c r="C119" s="460">
        <f t="shared" ref="C119:I119" si="44">SUM(C117-C118)</f>
        <v>3.9305228179605538</v>
      </c>
      <c r="D119" s="460">
        <f t="shared" si="44"/>
        <v>86.322995449013845</v>
      </c>
      <c r="E119" s="460">
        <f t="shared" si="44"/>
        <v>0</v>
      </c>
      <c r="F119" s="460">
        <f t="shared" si="44"/>
        <v>36.848651418380186</v>
      </c>
      <c r="G119" s="460">
        <f t="shared" si="44"/>
        <v>0</v>
      </c>
      <c r="H119" s="460">
        <f t="shared" si="44"/>
        <v>36.848651418380186</v>
      </c>
      <c r="I119" s="460">
        <f t="shared" si="44"/>
        <v>0</v>
      </c>
      <c r="J119" s="460">
        <f t="shared" si="41"/>
        <v>163.95082110373477</v>
      </c>
    </row>
    <row r="120" spans="2:10" ht="18" hidden="1" customHeight="1" outlineLevel="1" x14ac:dyDescent="0.3">
      <c r="B120" s="121" t="s">
        <v>250</v>
      </c>
      <c r="C120" s="504"/>
      <c r="D120" s="504"/>
      <c r="E120" s="504"/>
      <c r="F120" s="504"/>
      <c r="G120" s="504"/>
      <c r="H120" s="504"/>
      <c r="I120" s="504"/>
      <c r="J120" s="461">
        <f t="shared" si="41"/>
        <v>0</v>
      </c>
    </row>
    <row r="121" spans="2:10" ht="18" hidden="1" customHeight="1" outlineLevel="1" thickBot="1" x14ac:dyDescent="0.35">
      <c r="B121" s="120" t="s">
        <v>186</v>
      </c>
      <c r="C121" s="505">
        <f>C117*C$3</f>
        <v>3.9305228179605538</v>
      </c>
      <c r="D121" s="505">
        <f t="shared" ref="D121:I121" si="45">D117*D$3</f>
        <v>69.058396359211073</v>
      </c>
      <c r="E121" s="505">
        <f t="shared" si="45"/>
        <v>0</v>
      </c>
      <c r="F121" s="505">
        <f t="shared" si="45"/>
        <v>18.424325709190093</v>
      </c>
      <c r="G121" s="505">
        <f t="shared" si="45"/>
        <v>0</v>
      </c>
      <c r="H121" s="505">
        <f t="shared" si="45"/>
        <v>18.424325709190093</v>
      </c>
      <c r="I121" s="505">
        <f t="shared" si="45"/>
        <v>0</v>
      </c>
      <c r="J121" s="461">
        <f t="shared" si="41"/>
        <v>109.83757059555182</v>
      </c>
    </row>
    <row r="122" spans="2:10" ht="18.600000000000001" collapsed="1" thickBot="1" x14ac:dyDescent="0.4">
      <c r="B122" s="127" t="s">
        <v>271</v>
      </c>
      <c r="C122" s="454">
        <f t="shared" ref="C122:I122" si="46">SUM(C117+C120)</f>
        <v>3.9305228179605538</v>
      </c>
      <c r="D122" s="454">
        <f t="shared" si="46"/>
        <v>86.322995449013845</v>
      </c>
      <c r="E122" s="454">
        <f t="shared" si="46"/>
        <v>0</v>
      </c>
      <c r="F122" s="454">
        <f t="shared" si="46"/>
        <v>36.848651418380186</v>
      </c>
      <c r="G122" s="454">
        <f t="shared" si="46"/>
        <v>0</v>
      </c>
      <c r="H122" s="454">
        <f t="shared" si="46"/>
        <v>36.848651418380186</v>
      </c>
      <c r="I122" s="454">
        <f t="shared" si="46"/>
        <v>0</v>
      </c>
      <c r="J122" s="454">
        <f t="shared" si="41"/>
        <v>163.95082110373477</v>
      </c>
    </row>
    <row r="123" spans="2:10" ht="25.05" hidden="1" customHeight="1" outlineLevel="1" x14ac:dyDescent="0.3">
      <c r="B123" s="126" t="s">
        <v>266</v>
      </c>
      <c r="C123" s="455">
        <f t="shared" ref="C123:J123" si="47">SUM(C122)</f>
        <v>3.9305228179605538</v>
      </c>
      <c r="D123" s="455">
        <f t="shared" si="47"/>
        <v>86.322995449013845</v>
      </c>
      <c r="E123" s="455">
        <f t="shared" si="47"/>
        <v>0</v>
      </c>
      <c r="F123" s="455">
        <f t="shared" si="47"/>
        <v>36.848651418380186</v>
      </c>
      <c r="G123" s="455">
        <f t="shared" si="47"/>
        <v>0</v>
      </c>
      <c r="H123" s="455">
        <f t="shared" si="47"/>
        <v>36.848651418380186</v>
      </c>
      <c r="I123" s="455">
        <f t="shared" si="47"/>
        <v>0</v>
      </c>
      <c r="J123" s="455">
        <f t="shared" si="47"/>
        <v>163.95082110373477</v>
      </c>
    </row>
    <row r="124" spans="2:10" ht="18" hidden="1" customHeight="1" outlineLevel="1" x14ac:dyDescent="0.3">
      <c r="B124" s="123" t="s">
        <v>262</v>
      </c>
      <c r="C124" s="502"/>
      <c r="D124" s="502"/>
      <c r="E124" s="502"/>
      <c r="F124" s="502"/>
      <c r="G124" s="502"/>
      <c r="H124" s="502"/>
      <c r="I124" s="459"/>
      <c r="J124" s="456">
        <f t="shared" ref="J124:J139" si="48">SUM(C124:I124)</f>
        <v>0</v>
      </c>
    </row>
    <row r="125" spans="2:10" ht="18" hidden="1" customHeight="1" outlineLevel="1" x14ac:dyDescent="0.3">
      <c r="B125" s="123" t="s">
        <v>261</v>
      </c>
      <c r="C125" s="459"/>
      <c r="D125" s="459"/>
      <c r="E125" s="459"/>
      <c r="F125" s="459"/>
      <c r="G125" s="459"/>
      <c r="H125" s="459"/>
      <c r="I125" s="459"/>
      <c r="J125" s="456">
        <f t="shared" si="48"/>
        <v>0</v>
      </c>
    </row>
    <row r="126" spans="2:10" ht="18" hidden="1" customHeight="1" outlineLevel="1" x14ac:dyDescent="0.3">
      <c r="B126" s="124" t="s">
        <v>260</v>
      </c>
      <c r="C126" s="503">
        <f>C123*$M$3</f>
        <v>9.8263070449013841E-3</v>
      </c>
      <c r="D126" s="503">
        <f t="shared" ref="D126:I126" si="49">D123*$M$3</f>
        <v>0.21580748862253463</v>
      </c>
      <c r="E126" s="503">
        <f t="shared" si="49"/>
        <v>0</v>
      </c>
      <c r="F126" s="503">
        <f t="shared" si="49"/>
        <v>9.2121628545950462E-2</v>
      </c>
      <c r="G126" s="503">
        <f t="shared" si="49"/>
        <v>0</v>
      </c>
      <c r="H126" s="503">
        <f t="shared" si="49"/>
        <v>9.2121628545950462E-2</v>
      </c>
      <c r="I126" s="503">
        <f t="shared" si="49"/>
        <v>0</v>
      </c>
      <c r="J126" s="457">
        <f t="shared" si="48"/>
        <v>0.40987705275933695</v>
      </c>
    </row>
    <row r="127" spans="2:10" ht="18" hidden="1" customHeight="1" outlineLevel="1" x14ac:dyDescent="0.3">
      <c r="B127" s="124" t="s">
        <v>259</v>
      </c>
      <c r="C127" s="503"/>
      <c r="D127" s="503"/>
      <c r="E127" s="503"/>
      <c r="F127" s="503"/>
      <c r="G127" s="503"/>
      <c r="H127" s="503"/>
      <c r="I127" s="503"/>
      <c r="J127" s="457">
        <f t="shared" si="48"/>
        <v>0</v>
      </c>
    </row>
    <row r="128" spans="2:10" ht="18" hidden="1" customHeight="1" outlineLevel="1" x14ac:dyDescent="0.3">
      <c r="B128" s="124" t="s">
        <v>258</v>
      </c>
      <c r="C128" s="503"/>
      <c r="D128" s="503"/>
      <c r="E128" s="503"/>
      <c r="F128" s="503"/>
      <c r="G128" s="503"/>
      <c r="H128" s="503">
        <v>22</v>
      </c>
      <c r="I128" s="503"/>
      <c r="J128" s="457">
        <f t="shared" si="48"/>
        <v>22</v>
      </c>
    </row>
    <row r="129" spans="2:10" ht="18" hidden="1" customHeight="1" outlineLevel="1" x14ac:dyDescent="0.3">
      <c r="B129" s="124" t="s">
        <v>257</v>
      </c>
      <c r="C129" s="503"/>
      <c r="D129" s="503"/>
      <c r="E129" s="503"/>
      <c r="F129" s="503"/>
      <c r="G129" s="503"/>
      <c r="H129" s="503"/>
      <c r="I129" s="503"/>
      <c r="J129" s="457">
        <f t="shared" si="48"/>
        <v>0</v>
      </c>
    </row>
    <row r="130" spans="2:10" ht="18" hidden="1" customHeight="1" outlineLevel="1" x14ac:dyDescent="0.3">
      <c r="B130" s="124" t="s">
        <v>256</v>
      </c>
      <c r="C130" s="503"/>
      <c r="D130" s="503"/>
      <c r="E130" s="503"/>
      <c r="F130" s="503"/>
      <c r="G130" s="503"/>
      <c r="H130" s="503"/>
      <c r="I130" s="503"/>
      <c r="J130" s="457">
        <f t="shared" si="48"/>
        <v>0</v>
      </c>
    </row>
    <row r="131" spans="2:10" ht="18" hidden="1" customHeight="1" outlineLevel="1" x14ac:dyDescent="0.3">
      <c r="B131" s="125" t="s">
        <v>255</v>
      </c>
      <c r="C131" s="459"/>
      <c r="D131" s="459"/>
      <c r="E131" s="459"/>
      <c r="F131" s="459"/>
      <c r="G131" s="459"/>
      <c r="H131" s="459"/>
      <c r="I131" s="459"/>
      <c r="J131" s="456">
        <f t="shared" si="48"/>
        <v>0</v>
      </c>
    </row>
    <row r="132" spans="2:10" ht="18" hidden="1" customHeight="1" outlineLevel="1" x14ac:dyDescent="0.3">
      <c r="B132" s="124" t="s">
        <v>254</v>
      </c>
      <c r="C132" s="503"/>
      <c r="D132" s="503"/>
      <c r="E132" s="503"/>
      <c r="F132" s="503"/>
      <c r="G132" s="503"/>
      <c r="H132" s="503"/>
      <c r="I132" s="503"/>
      <c r="J132" s="457">
        <f t="shared" si="48"/>
        <v>0</v>
      </c>
    </row>
    <row r="133" spans="2:10" ht="18" hidden="1" customHeight="1" outlineLevel="1" x14ac:dyDescent="0.3">
      <c r="B133" s="124" t="s">
        <v>265</v>
      </c>
      <c r="C133" s="503"/>
      <c r="D133" s="503"/>
      <c r="E133" s="503"/>
      <c r="F133" s="503"/>
      <c r="G133" s="503"/>
      <c r="H133" s="503"/>
      <c r="I133" s="503"/>
      <c r="J133" s="457">
        <f t="shared" si="48"/>
        <v>0</v>
      </c>
    </row>
    <row r="134" spans="2:10" ht="18" hidden="1" customHeight="1" outlineLevel="1" x14ac:dyDescent="0.3">
      <c r="B134" s="123" t="s">
        <v>252</v>
      </c>
      <c r="C134" s="458">
        <f t="shared" ref="C134:I134" si="50">SUM(C123+C124+C125-C126-C127-C128-C129-C130+C131-C132)</f>
        <v>3.9206965109156524</v>
      </c>
      <c r="D134" s="458">
        <f t="shared" si="50"/>
        <v>86.107187960391315</v>
      </c>
      <c r="E134" s="458">
        <f t="shared" si="50"/>
        <v>0</v>
      </c>
      <c r="F134" s="458">
        <f t="shared" si="50"/>
        <v>36.756529789834232</v>
      </c>
      <c r="G134" s="458">
        <f t="shared" si="50"/>
        <v>0</v>
      </c>
      <c r="H134" s="458">
        <f t="shared" si="50"/>
        <v>14.756529789834232</v>
      </c>
      <c r="I134" s="458">
        <f t="shared" si="50"/>
        <v>0</v>
      </c>
      <c r="J134" s="458">
        <f t="shared" si="48"/>
        <v>141.54094405097544</v>
      </c>
    </row>
    <row r="135" spans="2:10" ht="18" hidden="1" customHeight="1" outlineLevel="1" x14ac:dyDescent="0.3">
      <c r="B135" s="121" t="s">
        <v>251</v>
      </c>
      <c r="C135" s="459"/>
      <c r="D135" s="459"/>
      <c r="E135" s="459"/>
      <c r="F135" s="459"/>
      <c r="G135" s="459"/>
      <c r="H135" s="459"/>
      <c r="I135" s="459"/>
      <c r="J135" s="459">
        <f t="shared" si="48"/>
        <v>0</v>
      </c>
    </row>
    <row r="136" spans="2:10" ht="18" hidden="1" customHeight="1" outlineLevel="1" x14ac:dyDescent="0.3">
      <c r="B136" s="122" t="s">
        <v>22</v>
      </c>
      <c r="C136" s="460">
        <f t="shared" ref="C136:I136" si="51">SUM(C134-C135)</f>
        <v>3.9206965109156524</v>
      </c>
      <c r="D136" s="460">
        <f t="shared" si="51"/>
        <v>86.107187960391315</v>
      </c>
      <c r="E136" s="460">
        <f t="shared" si="51"/>
        <v>0</v>
      </c>
      <c r="F136" s="460">
        <f t="shared" si="51"/>
        <v>36.756529789834232</v>
      </c>
      <c r="G136" s="460">
        <f t="shared" si="51"/>
        <v>0</v>
      </c>
      <c r="H136" s="460">
        <f t="shared" si="51"/>
        <v>14.756529789834232</v>
      </c>
      <c r="I136" s="460">
        <f t="shared" si="51"/>
        <v>0</v>
      </c>
      <c r="J136" s="460">
        <f t="shared" si="48"/>
        <v>141.54094405097544</v>
      </c>
    </row>
    <row r="137" spans="2:10" ht="18" hidden="1" customHeight="1" outlineLevel="1" x14ac:dyDescent="0.3">
      <c r="B137" s="121" t="s">
        <v>250</v>
      </c>
      <c r="C137" s="504"/>
      <c r="D137" s="504"/>
      <c r="E137" s="504"/>
      <c r="F137" s="504"/>
      <c r="G137" s="504"/>
      <c r="H137" s="504"/>
      <c r="I137" s="504"/>
      <c r="J137" s="461">
        <f t="shared" si="48"/>
        <v>0</v>
      </c>
    </row>
    <row r="138" spans="2:10" ht="18" hidden="1" customHeight="1" outlineLevel="1" thickBot="1" x14ac:dyDescent="0.35">
      <c r="B138" s="120" t="s">
        <v>186</v>
      </c>
      <c r="C138" s="505">
        <f>C134*C$3</f>
        <v>3.9206965109156524</v>
      </c>
      <c r="D138" s="505">
        <f t="shared" ref="D138:I138" si="52">D134*D$3</f>
        <v>68.885750368313055</v>
      </c>
      <c r="E138" s="505">
        <f t="shared" si="52"/>
        <v>0</v>
      </c>
      <c r="F138" s="505">
        <f t="shared" si="52"/>
        <v>18.378264894917116</v>
      </c>
      <c r="G138" s="505">
        <f t="shared" si="52"/>
        <v>0</v>
      </c>
      <c r="H138" s="505">
        <f t="shared" si="52"/>
        <v>7.3782648949171161</v>
      </c>
      <c r="I138" s="505">
        <f t="shared" si="52"/>
        <v>0</v>
      </c>
      <c r="J138" s="461">
        <f t="shared" si="48"/>
        <v>98.562976669062948</v>
      </c>
    </row>
    <row r="139" spans="2:10" ht="18.600000000000001" collapsed="1" thickBot="1" x14ac:dyDescent="0.4">
      <c r="B139" s="127" t="s">
        <v>270</v>
      </c>
      <c r="C139" s="454">
        <f t="shared" ref="C139:I139" si="53">SUM(C134+C137)</f>
        <v>3.9206965109156524</v>
      </c>
      <c r="D139" s="454">
        <f t="shared" si="53"/>
        <v>86.107187960391315</v>
      </c>
      <c r="E139" s="454">
        <f t="shared" si="53"/>
        <v>0</v>
      </c>
      <c r="F139" s="454">
        <f t="shared" si="53"/>
        <v>36.756529789834232</v>
      </c>
      <c r="G139" s="454">
        <f t="shared" si="53"/>
        <v>0</v>
      </c>
      <c r="H139" s="454">
        <f t="shared" si="53"/>
        <v>14.756529789834232</v>
      </c>
      <c r="I139" s="454">
        <f t="shared" si="53"/>
        <v>0</v>
      </c>
      <c r="J139" s="454">
        <f t="shared" si="48"/>
        <v>141.54094405097544</v>
      </c>
    </row>
    <row r="140" spans="2:10" ht="25.05" hidden="1" customHeight="1" outlineLevel="1" x14ac:dyDescent="0.3">
      <c r="B140" s="126" t="s">
        <v>266</v>
      </c>
      <c r="C140" s="455">
        <f t="shared" ref="C140:J140" si="54">SUM(C139)</f>
        <v>3.9206965109156524</v>
      </c>
      <c r="D140" s="455">
        <f t="shared" si="54"/>
        <v>86.107187960391315</v>
      </c>
      <c r="E140" s="455">
        <f t="shared" si="54"/>
        <v>0</v>
      </c>
      <c r="F140" s="455">
        <f t="shared" si="54"/>
        <v>36.756529789834232</v>
      </c>
      <c r="G140" s="455">
        <f t="shared" si="54"/>
        <v>0</v>
      </c>
      <c r="H140" s="455">
        <f t="shared" si="54"/>
        <v>14.756529789834232</v>
      </c>
      <c r="I140" s="455">
        <f t="shared" si="54"/>
        <v>0</v>
      </c>
      <c r="J140" s="455">
        <f t="shared" si="54"/>
        <v>141.54094405097544</v>
      </c>
    </row>
    <row r="141" spans="2:10" ht="18" hidden="1" customHeight="1" outlineLevel="1" x14ac:dyDescent="0.3">
      <c r="B141" s="123" t="s">
        <v>262</v>
      </c>
      <c r="C141" s="502"/>
      <c r="D141" s="502"/>
      <c r="E141" s="502"/>
      <c r="F141" s="502"/>
      <c r="G141" s="502"/>
      <c r="H141" s="502"/>
      <c r="I141" s="459"/>
      <c r="J141" s="456">
        <f t="shared" ref="J141:J156" si="55">SUM(C141:I141)</f>
        <v>0</v>
      </c>
    </row>
    <row r="142" spans="2:10" ht="18" hidden="1" customHeight="1" outlineLevel="1" x14ac:dyDescent="0.3">
      <c r="B142" s="123" t="s">
        <v>261</v>
      </c>
      <c r="C142" s="459"/>
      <c r="D142" s="459"/>
      <c r="E142" s="459"/>
      <c r="F142" s="459"/>
      <c r="G142" s="459"/>
      <c r="H142" s="459"/>
      <c r="I142" s="459"/>
      <c r="J142" s="456">
        <f t="shared" si="55"/>
        <v>0</v>
      </c>
    </row>
    <row r="143" spans="2:10" ht="18" hidden="1" customHeight="1" outlineLevel="1" x14ac:dyDescent="0.3">
      <c r="B143" s="124" t="s">
        <v>260</v>
      </c>
      <c r="C143" s="503">
        <f>C140*$M$3</f>
        <v>9.8017412772891319E-3</v>
      </c>
      <c r="D143" s="503">
        <f t="shared" ref="D143:I143" si="56">D140*$M$3</f>
        <v>0.2152679699009783</v>
      </c>
      <c r="E143" s="503">
        <f t="shared" si="56"/>
        <v>0</v>
      </c>
      <c r="F143" s="503">
        <f t="shared" si="56"/>
        <v>9.1891324474585576E-2</v>
      </c>
      <c r="G143" s="503">
        <f t="shared" si="56"/>
        <v>0</v>
      </c>
      <c r="H143" s="503">
        <f t="shared" si="56"/>
        <v>3.6891324474585582E-2</v>
      </c>
      <c r="I143" s="503">
        <f t="shared" si="56"/>
        <v>0</v>
      </c>
      <c r="J143" s="457">
        <f t="shared" si="55"/>
        <v>0.35385236012743859</v>
      </c>
    </row>
    <row r="144" spans="2:10" ht="18" hidden="1" customHeight="1" outlineLevel="1" x14ac:dyDescent="0.3">
      <c r="B144" s="124" t="s">
        <v>259</v>
      </c>
      <c r="C144" s="503"/>
      <c r="D144" s="503"/>
      <c r="E144" s="503"/>
      <c r="F144" s="503"/>
      <c r="G144" s="503"/>
      <c r="H144" s="503"/>
      <c r="I144" s="503"/>
      <c r="J144" s="457">
        <f t="shared" si="55"/>
        <v>0</v>
      </c>
    </row>
    <row r="145" spans="2:10" ht="18" hidden="1" customHeight="1" outlineLevel="1" x14ac:dyDescent="0.3">
      <c r="B145" s="124" t="s">
        <v>258</v>
      </c>
      <c r="C145" s="503">
        <v>1</v>
      </c>
      <c r="D145" s="503"/>
      <c r="E145" s="503"/>
      <c r="F145" s="503">
        <v>15</v>
      </c>
      <c r="G145" s="503"/>
      <c r="H145" s="503"/>
      <c r="I145" s="503"/>
      <c r="J145" s="457">
        <f t="shared" si="55"/>
        <v>16</v>
      </c>
    </row>
    <row r="146" spans="2:10" ht="18" hidden="1" customHeight="1" outlineLevel="1" x14ac:dyDescent="0.3">
      <c r="B146" s="124" t="s">
        <v>257</v>
      </c>
      <c r="C146" s="503"/>
      <c r="D146" s="503"/>
      <c r="E146" s="503"/>
      <c r="F146" s="503"/>
      <c r="G146" s="503"/>
      <c r="H146" s="503"/>
      <c r="I146" s="503"/>
      <c r="J146" s="457">
        <f t="shared" si="55"/>
        <v>0</v>
      </c>
    </row>
    <row r="147" spans="2:10" ht="18" hidden="1" customHeight="1" outlineLevel="1" x14ac:dyDescent="0.3">
      <c r="B147" s="124" t="s">
        <v>256</v>
      </c>
      <c r="C147" s="503"/>
      <c r="D147" s="503"/>
      <c r="E147" s="503"/>
      <c r="F147" s="503"/>
      <c r="G147" s="503"/>
      <c r="H147" s="503"/>
      <c r="I147" s="503"/>
      <c r="J147" s="457">
        <f t="shared" si="55"/>
        <v>0</v>
      </c>
    </row>
    <row r="148" spans="2:10" ht="18" hidden="1" customHeight="1" outlineLevel="1" x14ac:dyDescent="0.3">
      <c r="B148" s="125" t="s">
        <v>255</v>
      </c>
      <c r="C148" s="459"/>
      <c r="D148" s="459"/>
      <c r="E148" s="459"/>
      <c r="F148" s="459"/>
      <c r="G148" s="459"/>
      <c r="H148" s="459"/>
      <c r="I148" s="459"/>
      <c r="J148" s="456">
        <f t="shared" si="55"/>
        <v>0</v>
      </c>
    </row>
    <row r="149" spans="2:10" ht="18" hidden="1" customHeight="1" outlineLevel="1" x14ac:dyDescent="0.3">
      <c r="B149" s="124" t="s">
        <v>254</v>
      </c>
      <c r="C149" s="503"/>
      <c r="D149" s="503"/>
      <c r="E149" s="503"/>
      <c r="F149" s="503"/>
      <c r="G149" s="503"/>
      <c r="H149" s="503"/>
      <c r="I149" s="503"/>
      <c r="J149" s="457">
        <f t="shared" si="55"/>
        <v>0</v>
      </c>
    </row>
    <row r="150" spans="2:10" ht="18" hidden="1" customHeight="1" outlineLevel="1" x14ac:dyDescent="0.3">
      <c r="B150" s="124" t="s">
        <v>265</v>
      </c>
      <c r="C150" s="503"/>
      <c r="D150" s="503"/>
      <c r="E150" s="503"/>
      <c r="F150" s="503"/>
      <c r="G150" s="503"/>
      <c r="H150" s="503"/>
      <c r="I150" s="503"/>
      <c r="J150" s="457">
        <f t="shared" si="55"/>
        <v>0</v>
      </c>
    </row>
    <row r="151" spans="2:10" ht="18" hidden="1" customHeight="1" outlineLevel="1" x14ac:dyDescent="0.3">
      <c r="B151" s="123" t="s">
        <v>252</v>
      </c>
      <c r="C151" s="458">
        <f t="shared" ref="C151:I151" si="57">SUM(C140+C141+C142-C143-C144-C145-C146-C147+C148-C149)</f>
        <v>2.9108947696383631</v>
      </c>
      <c r="D151" s="458">
        <f t="shared" si="57"/>
        <v>85.891919990490337</v>
      </c>
      <c r="E151" s="458">
        <f t="shared" si="57"/>
        <v>0</v>
      </c>
      <c r="F151" s="458">
        <f t="shared" si="57"/>
        <v>21.664638465359644</v>
      </c>
      <c r="G151" s="458">
        <f t="shared" si="57"/>
        <v>0</v>
      </c>
      <c r="H151" s="458">
        <f t="shared" si="57"/>
        <v>14.719638465359647</v>
      </c>
      <c r="I151" s="458">
        <f t="shared" si="57"/>
        <v>0</v>
      </c>
      <c r="J151" s="458">
        <f t="shared" si="55"/>
        <v>125.18709169084799</v>
      </c>
    </row>
    <row r="152" spans="2:10" ht="18" hidden="1" customHeight="1" outlineLevel="1" x14ac:dyDescent="0.3">
      <c r="B152" s="121" t="s">
        <v>251</v>
      </c>
      <c r="C152" s="459"/>
      <c r="D152" s="459"/>
      <c r="E152" s="459"/>
      <c r="F152" s="459"/>
      <c r="G152" s="459"/>
      <c r="H152" s="459"/>
      <c r="I152" s="459"/>
      <c r="J152" s="459">
        <f t="shared" si="55"/>
        <v>0</v>
      </c>
    </row>
    <row r="153" spans="2:10" ht="18" hidden="1" customHeight="1" outlineLevel="1" x14ac:dyDescent="0.3">
      <c r="B153" s="122" t="s">
        <v>22</v>
      </c>
      <c r="C153" s="460">
        <f t="shared" ref="C153:I153" si="58">SUM(C151-C152)</f>
        <v>2.9108947696383631</v>
      </c>
      <c r="D153" s="460">
        <f t="shared" si="58"/>
        <v>85.891919990490337</v>
      </c>
      <c r="E153" s="460">
        <f t="shared" si="58"/>
        <v>0</v>
      </c>
      <c r="F153" s="460">
        <f t="shared" si="58"/>
        <v>21.664638465359644</v>
      </c>
      <c r="G153" s="460">
        <f t="shared" si="58"/>
        <v>0</v>
      </c>
      <c r="H153" s="460">
        <f t="shared" si="58"/>
        <v>14.719638465359647</v>
      </c>
      <c r="I153" s="460">
        <f t="shared" si="58"/>
        <v>0</v>
      </c>
      <c r="J153" s="460">
        <f t="shared" si="55"/>
        <v>125.18709169084799</v>
      </c>
    </row>
    <row r="154" spans="2:10" ht="18" hidden="1" customHeight="1" outlineLevel="1" x14ac:dyDescent="0.3">
      <c r="B154" s="121" t="s">
        <v>250</v>
      </c>
      <c r="C154" s="504"/>
      <c r="D154" s="504"/>
      <c r="E154" s="504"/>
      <c r="F154" s="504"/>
      <c r="G154" s="504"/>
      <c r="H154" s="504"/>
      <c r="I154" s="504"/>
      <c r="J154" s="461">
        <f t="shared" si="55"/>
        <v>0</v>
      </c>
    </row>
    <row r="155" spans="2:10" ht="18" hidden="1" customHeight="1" outlineLevel="1" thickBot="1" x14ac:dyDescent="0.35">
      <c r="B155" s="120" t="s">
        <v>186</v>
      </c>
      <c r="C155" s="505">
        <f>C151*C$3</f>
        <v>2.9108947696383631</v>
      </c>
      <c r="D155" s="505">
        <f t="shared" ref="D155:I155" si="59">D151*D$3</f>
        <v>68.713535992392266</v>
      </c>
      <c r="E155" s="505">
        <f t="shared" si="59"/>
        <v>0</v>
      </c>
      <c r="F155" s="505">
        <f t="shared" si="59"/>
        <v>10.832319232679822</v>
      </c>
      <c r="G155" s="505">
        <f t="shared" si="59"/>
        <v>0</v>
      </c>
      <c r="H155" s="505">
        <f t="shared" si="59"/>
        <v>7.3598192326798237</v>
      </c>
      <c r="I155" s="505">
        <f t="shared" si="59"/>
        <v>0</v>
      </c>
      <c r="J155" s="461">
        <f t="shared" si="55"/>
        <v>89.816569227390275</v>
      </c>
    </row>
    <row r="156" spans="2:10" ht="18.600000000000001" collapsed="1" thickBot="1" x14ac:dyDescent="0.4">
      <c r="B156" s="127" t="s">
        <v>269</v>
      </c>
      <c r="C156" s="454">
        <f t="shared" ref="C156:I156" si="60">SUM(C151+C154)</f>
        <v>2.9108947696383631</v>
      </c>
      <c r="D156" s="454">
        <f t="shared" si="60"/>
        <v>85.891919990490337</v>
      </c>
      <c r="E156" s="454">
        <f t="shared" si="60"/>
        <v>0</v>
      </c>
      <c r="F156" s="454">
        <f t="shared" si="60"/>
        <v>21.664638465359644</v>
      </c>
      <c r="G156" s="454">
        <f t="shared" si="60"/>
        <v>0</v>
      </c>
      <c r="H156" s="454">
        <f t="shared" si="60"/>
        <v>14.719638465359647</v>
      </c>
      <c r="I156" s="454">
        <f t="shared" si="60"/>
        <v>0</v>
      </c>
      <c r="J156" s="454">
        <f t="shared" si="55"/>
        <v>125.18709169084799</v>
      </c>
    </row>
    <row r="157" spans="2:10" ht="25.05" hidden="1" customHeight="1" outlineLevel="1" x14ac:dyDescent="0.3">
      <c r="B157" s="126" t="s">
        <v>266</v>
      </c>
      <c r="C157" s="455">
        <f t="shared" ref="C157:J157" si="61">SUM(C156)</f>
        <v>2.9108947696383631</v>
      </c>
      <c r="D157" s="455">
        <f t="shared" si="61"/>
        <v>85.891919990490337</v>
      </c>
      <c r="E157" s="455">
        <f t="shared" si="61"/>
        <v>0</v>
      </c>
      <c r="F157" s="455">
        <f t="shared" si="61"/>
        <v>21.664638465359644</v>
      </c>
      <c r="G157" s="455">
        <f t="shared" si="61"/>
        <v>0</v>
      </c>
      <c r="H157" s="455">
        <f t="shared" si="61"/>
        <v>14.719638465359647</v>
      </c>
      <c r="I157" s="455">
        <f t="shared" si="61"/>
        <v>0</v>
      </c>
      <c r="J157" s="455">
        <f t="shared" si="61"/>
        <v>125.18709169084799</v>
      </c>
    </row>
    <row r="158" spans="2:10" ht="18" hidden="1" customHeight="1" outlineLevel="1" x14ac:dyDescent="0.3">
      <c r="B158" s="123" t="s">
        <v>262</v>
      </c>
      <c r="C158" s="502"/>
      <c r="D158" s="502"/>
      <c r="E158" s="502"/>
      <c r="F158" s="502"/>
      <c r="G158" s="502"/>
      <c r="H158" s="502"/>
      <c r="I158" s="459">
        <f>(O3*D88)/3</f>
        <v>24.580933078447753</v>
      </c>
      <c r="J158" s="456">
        <f t="shared" ref="J158:J173" si="62">SUM(C158:I158)</f>
        <v>24.580933078447753</v>
      </c>
    </row>
    <row r="159" spans="2:10" ht="18" hidden="1" customHeight="1" outlineLevel="1" x14ac:dyDescent="0.3">
      <c r="B159" s="123" t="s">
        <v>261</v>
      </c>
      <c r="C159" s="459"/>
      <c r="D159" s="459"/>
      <c r="E159" s="459"/>
      <c r="F159" s="459"/>
      <c r="G159" s="459"/>
      <c r="H159" s="459"/>
      <c r="I159" s="459"/>
      <c r="J159" s="456">
        <f t="shared" si="62"/>
        <v>0</v>
      </c>
    </row>
    <row r="160" spans="2:10" ht="18" hidden="1" customHeight="1" outlineLevel="1" x14ac:dyDescent="0.3">
      <c r="B160" s="124" t="s">
        <v>260</v>
      </c>
      <c r="C160" s="503">
        <f>C157*$M$3</f>
        <v>7.2772369240959077E-3</v>
      </c>
      <c r="D160" s="503">
        <f t="shared" ref="D160:I160" si="63">D157*$M$3</f>
        <v>0.21472979997622585</v>
      </c>
      <c r="E160" s="503">
        <f t="shared" si="63"/>
        <v>0</v>
      </c>
      <c r="F160" s="503">
        <f t="shared" si="63"/>
        <v>5.4161596163399113E-2</v>
      </c>
      <c r="G160" s="503">
        <f t="shared" si="63"/>
        <v>0</v>
      </c>
      <c r="H160" s="503">
        <f t="shared" si="63"/>
        <v>3.6799096163399117E-2</v>
      </c>
      <c r="I160" s="503">
        <f t="shared" si="63"/>
        <v>0</v>
      </c>
      <c r="J160" s="457">
        <f t="shared" si="62"/>
        <v>0.31296772922711996</v>
      </c>
    </row>
    <row r="161" spans="2:10" ht="18" hidden="1" customHeight="1" outlineLevel="1" x14ac:dyDescent="0.3">
      <c r="B161" s="124" t="s">
        <v>259</v>
      </c>
      <c r="C161" s="503"/>
      <c r="D161" s="503"/>
      <c r="E161" s="503"/>
      <c r="F161" s="503"/>
      <c r="G161" s="503"/>
      <c r="H161" s="503"/>
      <c r="I161" s="503"/>
      <c r="J161" s="457">
        <f t="shared" si="62"/>
        <v>0</v>
      </c>
    </row>
    <row r="162" spans="2:10" ht="18" hidden="1" customHeight="1" outlineLevel="1" x14ac:dyDescent="0.3">
      <c r="B162" s="124" t="s">
        <v>258</v>
      </c>
      <c r="C162" s="503"/>
      <c r="D162" s="503"/>
      <c r="E162" s="503"/>
      <c r="F162" s="503"/>
      <c r="G162" s="503"/>
      <c r="H162" s="503"/>
      <c r="I162" s="503"/>
      <c r="J162" s="457">
        <f t="shared" si="62"/>
        <v>0</v>
      </c>
    </row>
    <row r="163" spans="2:10" ht="18" hidden="1" customHeight="1" outlineLevel="1" x14ac:dyDescent="0.3">
      <c r="B163" s="124" t="s">
        <v>257</v>
      </c>
      <c r="C163" s="503"/>
      <c r="D163" s="503"/>
      <c r="E163" s="503"/>
      <c r="F163" s="503"/>
      <c r="G163" s="503"/>
      <c r="H163" s="503"/>
      <c r="I163" s="503"/>
      <c r="J163" s="457">
        <f t="shared" si="62"/>
        <v>0</v>
      </c>
    </row>
    <row r="164" spans="2:10" ht="18" hidden="1" customHeight="1" outlineLevel="1" x14ac:dyDescent="0.3">
      <c r="B164" s="124" t="s">
        <v>256</v>
      </c>
      <c r="C164" s="503"/>
      <c r="D164" s="503"/>
      <c r="E164" s="503"/>
      <c r="F164" s="503"/>
      <c r="G164" s="503"/>
      <c r="H164" s="503"/>
      <c r="I164" s="503"/>
      <c r="J164" s="457">
        <f t="shared" si="62"/>
        <v>0</v>
      </c>
    </row>
    <row r="165" spans="2:10" ht="18" hidden="1" customHeight="1" outlineLevel="1" x14ac:dyDescent="0.3">
      <c r="B165" s="125" t="s">
        <v>255</v>
      </c>
      <c r="C165" s="459"/>
      <c r="D165" s="459"/>
      <c r="E165" s="459"/>
      <c r="F165" s="459"/>
      <c r="G165" s="459"/>
      <c r="H165" s="459"/>
      <c r="I165" s="459"/>
      <c r="J165" s="456">
        <f t="shared" si="62"/>
        <v>0</v>
      </c>
    </row>
    <row r="166" spans="2:10" ht="18" hidden="1" customHeight="1" outlineLevel="1" x14ac:dyDescent="0.3">
      <c r="B166" s="124" t="s">
        <v>254</v>
      </c>
      <c r="C166" s="503"/>
      <c r="D166" s="503"/>
      <c r="E166" s="503"/>
      <c r="F166" s="503"/>
      <c r="G166" s="503"/>
      <c r="H166" s="503"/>
      <c r="I166" s="503"/>
      <c r="J166" s="457">
        <f t="shared" si="62"/>
        <v>0</v>
      </c>
    </row>
    <row r="167" spans="2:10" ht="18" hidden="1" customHeight="1" outlineLevel="1" x14ac:dyDescent="0.3">
      <c r="B167" s="124" t="s">
        <v>265</v>
      </c>
      <c r="C167" s="503"/>
      <c r="D167" s="503"/>
      <c r="E167" s="503"/>
      <c r="F167" s="503"/>
      <c r="G167" s="503"/>
      <c r="H167" s="503"/>
      <c r="I167" s="503"/>
      <c r="J167" s="457">
        <f t="shared" si="62"/>
        <v>0</v>
      </c>
    </row>
    <row r="168" spans="2:10" ht="18" hidden="1" customHeight="1" outlineLevel="1" x14ac:dyDescent="0.3">
      <c r="B168" s="123" t="s">
        <v>252</v>
      </c>
      <c r="C168" s="458">
        <f t="shared" ref="C168:I168" si="64">SUM(C157+C158+C159-C160-C161-C162-C163-C164+C165-C166)</f>
        <v>2.903617532714267</v>
      </c>
      <c r="D168" s="458">
        <f t="shared" si="64"/>
        <v>85.677190190514111</v>
      </c>
      <c r="E168" s="458">
        <f t="shared" si="64"/>
        <v>0</v>
      </c>
      <c r="F168" s="458">
        <f t="shared" si="64"/>
        <v>21.610476869196244</v>
      </c>
      <c r="G168" s="458">
        <f t="shared" si="64"/>
        <v>0</v>
      </c>
      <c r="H168" s="458">
        <f t="shared" si="64"/>
        <v>14.682839369196248</v>
      </c>
      <c r="I168" s="458">
        <f t="shared" si="64"/>
        <v>24.580933078447753</v>
      </c>
      <c r="J168" s="458">
        <f t="shared" si="62"/>
        <v>149.45505704006862</v>
      </c>
    </row>
    <row r="169" spans="2:10" ht="18" hidden="1" customHeight="1" outlineLevel="1" x14ac:dyDescent="0.3">
      <c r="B169" s="121" t="s">
        <v>251</v>
      </c>
      <c r="C169" s="459"/>
      <c r="D169" s="459"/>
      <c r="E169" s="459"/>
      <c r="F169" s="459"/>
      <c r="G169" s="459"/>
      <c r="H169" s="459"/>
      <c r="I169" s="459"/>
      <c r="J169" s="459">
        <f t="shared" si="62"/>
        <v>0</v>
      </c>
    </row>
    <row r="170" spans="2:10" ht="18" hidden="1" customHeight="1" outlineLevel="1" x14ac:dyDescent="0.3">
      <c r="B170" s="122" t="s">
        <v>22</v>
      </c>
      <c r="C170" s="460">
        <f t="shared" ref="C170:I170" si="65">SUM(C168-C169)</f>
        <v>2.903617532714267</v>
      </c>
      <c r="D170" s="460">
        <f t="shared" si="65"/>
        <v>85.677190190514111</v>
      </c>
      <c r="E170" s="460">
        <f t="shared" si="65"/>
        <v>0</v>
      </c>
      <c r="F170" s="460">
        <f t="shared" si="65"/>
        <v>21.610476869196244</v>
      </c>
      <c r="G170" s="460">
        <f t="shared" si="65"/>
        <v>0</v>
      </c>
      <c r="H170" s="460">
        <f t="shared" si="65"/>
        <v>14.682839369196248</v>
      </c>
      <c r="I170" s="460">
        <f t="shared" si="65"/>
        <v>24.580933078447753</v>
      </c>
      <c r="J170" s="460">
        <f t="shared" si="62"/>
        <v>149.45505704006862</v>
      </c>
    </row>
    <row r="171" spans="2:10" ht="18" hidden="1" customHeight="1" outlineLevel="1" x14ac:dyDescent="0.3">
      <c r="B171" s="121" t="s">
        <v>250</v>
      </c>
      <c r="C171" s="504"/>
      <c r="D171" s="504"/>
      <c r="E171" s="504"/>
      <c r="F171" s="504"/>
      <c r="G171" s="504"/>
      <c r="H171" s="504"/>
      <c r="I171" s="504"/>
      <c r="J171" s="461">
        <f t="shared" si="62"/>
        <v>0</v>
      </c>
    </row>
    <row r="172" spans="2:10" ht="18" hidden="1" customHeight="1" outlineLevel="1" thickBot="1" x14ac:dyDescent="0.35">
      <c r="B172" s="120" t="s">
        <v>186</v>
      </c>
      <c r="C172" s="505">
        <f>C168*C$3</f>
        <v>2.903617532714267</v>
      </c>
      <c r="D172" s="505">
        <f t="shared" ref="D172:I172" si="66">D168*D$3</f>
        <v>68.541752152411291</v>
      </c>
      <c r="E172" s="505">
        <f t="shared" si="66"/>
        <v>0</v>
      </c>
      <c r="F172" s="505">
        <f t="shared" si="66"/>
        <v>10.805238434598122</v>
      </c>
      <c r="G172" s="505">
        <f t="shared" si="66"/>
        <v>0</v>
      </c>
      <c r="H172" s="505">
        <f t="shared" si="66"/>
        <v>7.3414196845981241</v>
      </c>
      <c r="I172" s="505">
        <f t="shared" si="66"/>
        <v>4.9161866156895506</v>
      </c>
      <c r="J172" s="461">
        <f t="shared" si="62"/>
        <v>94.508214420011356</v>
      </c>
    </row>
    <row r="173" spans="2:10" ht="18.600000000000001" collapsed="1" thickBot="1" x14ac:dyDescent="0.4">
      <c r="B173" s="127" t="s">
        <v>268</v>
      </c>
      <c r="C173" s="454">
        <f t="shared" ref="C173:I173" si="67">SUM(C168+C171)</f>
        <v>2.903617532714267</v>
      </c>
      <c r="D173" s="454">
        <f t="shared" si="67"/>
        <v>85.677190190514111</v>
      </c>
      <c r="E173" s="454">
        <f t="shared" si="67"/>
        <v>0</v>
      </c>
      <c r="F173" s="454">
        <f t="shared" si="67"/>
        <v>21.610476869196244</v>
      </c>
      <c r="G173" s="454">
        <f t="shared" si="67"/>
        <v>0</v>
      </c>
      <c r="H173" s="454">
        <f t="shared" si="67"/>
        <v>14.682839369196248</v>
      </c>
      <c r="I173" s="454">
        <f t="shared" si="67"/>
        <v>24.580933078447753</v>
      </c>
      <c r="J173" s="454">
        <f t="shared" si="62"/>
        <v>149.45505704006862</v>
      </c>
    </row>
    <row r="174" spans="2:10" ht="25.05" hidden="1" customHeight="1" outlineLevel="2" x14ac:dyDescent="0.3">
      <c r="B174" s="126" t="s">
        <v>266</v>
      </c>
      <c r="C174" s="455">
        <f t="shared" ref="C174:J174" si="68">SUM(C173)</f>
        <v>2.903617532714267</v>
      </c>
      <c r="D174" s="455">
        <f t="shared" si="68"/>
        <v>85.677190190514111</v>
      </c>
      <c r="E174" s="455">
        <f t="shared" si="68"/>
        <v>0</v>
      </c>
      <c r="F174" s="455">
        <f t="shared" si="68"/>
        <v>21.610476869196244</v>
      </c>
      <c r="G174" s="455">
        <f t="shared" si="68"/>
        <v>0</v>
      </c>
      <c r="H174" s="455">
        <f t="shared" si="68"/>
        <v>14.682839369196248</v>
      </c>
      <c r="I174" s="455">
        <f t="shared" si="68"/>
        <v>24.580933078447753</v>
      </c>
      <c r="J174" s="455">
        <f t="shared" si="68"/>
        <v>149.45505704006862</v>
      </c>
    </row>
    <row r="175" spans="2:10" ht="18" hidden="1" customHeight="1" outlineLevel="2" x14ac:dyDescent="0.3">
      <c r="B175" s="123" t="s">
        <v>262</v>
      </c>
      <c r="C175" s="502"/>
      <c r="D175" s="502"/>
      <c r="E175" s="502"/>
      <c r="F175" s="502"/>
      <c r="G175" s="502"/>
      <c r="H175" s="502"/>
      <c r="I175" s="459">
        <f>(O3*D88)/3</f>
        <v>24.580933078447753</v>
      </c>
      <c r="J175" s="456">
        <f t="shared" ref="J175:J190" si="69">SUM(C175:I175)</f>
        <v>24.580933078447753</v>
      </c>
    </row>
    <row r="176" spans="2:10" ht="18" hidden="1" customHeight="1" outlineLevel="2" x14ac:dyDescent="0.3">
      <c r="B176" s="123" t="s">
        <v>261</v>
      </c>
      <c r="C176" s="459"/>
      <c r="D176" s="459"/>
      <c r="E176" s="459"/>
      <c r="F176" s="459"/>
      <c r="G176" s="459"/>
      <c r="H176" s="459"/>
      <c r="I176" s="459"/>
      <c r="J176" s="456">
        <f t="shared" si="69"/>
        <v>0</v>
      </c>
    </row>
    <row r="177" spans="2:10" ht="18" hidden="1" customHeight="1" outlineLevel="2" x14ac:dyDescent="0.3">
      <c r="B177" s="124" t="s">
        <v>260</v>
      </c>
      <c r="C177" s="503">
        <f>C174*$M$3</f>
        <v>7.2590438317856679E-3</v>
      </c>
      <c r="D177" s="503">
        <f t="shared" ref="D177:I177" si="70">D174*$M$3</f>
        <v>0.21419297547628527</v>
      </c>
      <c r="E177" s="503">
        <f t="shared" si="70"/>
        <v>0</v>
      </c>
      <c r="F177" s="503">
        <f t="shared" si="70"/>
        <v>5.4026192172990609E-2</v>
      </c>
      <c r="G177" s="503">
        <f t="shared" si="70"/>
        <v>0</v>
      </c>
      <c r="H177" s="503">
        <f t="shared" si="70"/>
        <v>3.6707098422990622E-2</v>
      </c>
      <c r="I177" s="503">
        <f t="shared" si="70"/>
        <v>6.1452332696119383E-2</v>
      </c>
      <c r="J177" s="457">
        <f t="shared" si="69"/>
        <v>0.37363764260017157</v>
      </c>
    </row>
    <row r="178" spans="2:10" ht="18" hidden="1" customHeight="1" outlineLevel="2" x14ac:dyDescent="0.3">
      <c r="B178" s="124" t="s">
        <v>259</v>
      </c>
      <c r="C178" s="503"/>
      <c r="D178" s="503"/>
      <c r="E178" s="503"/>
      <c r="F178" s="503"/>
      <c r="G178" s="503"/>
      <c r="H178" s="503"/>
      <c r="I178" s="503"/>
      <c r="J178" s="457">
        <f t="shared" si="69"/>
        <v>0</v>
      </c>
    </row>
    <row r="179" spans="2:10" ht="18" hidden="1" customHeight="1" outlineLevel="2" x14ac:dyDescent="0.3">
      <c r="B179" s="124" t="s">
        <v>258</v>
      </c>
      <c r="C179" s="503"/>
      <c r="D179" s="503"/>
      <c r="E179" s="503"/>
      <c r="F179" s="503"/>
      <c r="G179" s="503"/>
      <c r="H179" s="503"/>
      <c r="I179" s="503"/>
      <c r="J179" s="457">
        <f t="shared" si="69"/>
        <v>0</v>
      </c>
    </row>
    <row r="180" spans="2:10" ht="18" hidden="1" customHeight="1" outlineLevel="2" x14ac:dyDescent="0.3">
      <c r="B180" s="124" t="s">
        <v>257</v>
      </c>
      <c r="C180" s="503"/>
      <c r="D180" s="503"/>
      <c r="E180" s="503"/>
      <c r="F180" s="503"/>
      <c r="G180" s="503"/>
      <c r="H180" s="503"/>
      <c r="I180" s="503"/>
      <c r="J180" s="457">
        <f t="shared" si="69"/>
        <v>0</v>
      </c>
    </row>
    <row r="181" spans="2:10" ht="18" hidden="1" customHeight="1" outlineLevel="2" x14ac:dyDescent="0.3">
      <c r="B181" s="124" t="s">
        <v>256</v>
      </c>
      <c r="C181" s="503"/>
      <c r="D181" s="503"/>
      <c r="E181" s="503"/>
      <c r="F181" s="503"/>
      <c r="G181" s="503"/>
      <c r="H181" s="503"/>
      <c r="I181" s="503"/>
      <c r="J181" s="457">
        <f t="shared" si="69"/>
        <v>0</v>
      </c>
    </row>
    <row r="182" spans="2:10" ht="18" hidden="1" customHeight="1" outlineLevel="2" x14ac:dyDescent="0.3">
      <c r="B182" s="125" t="s">
        <v>255</v>
      </c>
      <c r="C182" s="459"/>
      <c r="D182" s="459"/>
      <c r="E182" s="459"/>
      <c r="F182" s="459"/>
      <c r="G182" s="459"/>
      <c r="H182" s="459"/>
      <c r="I182" s="459"/>
      <c r="J182" s="456">
        <f t="shared" si="69"/>
        <v>0</v>
      </c>
    </row>
    <row r="183" spans="2:10" ht="18" hidden="1" customHeight="1" outlineLevel="2" x14ac:dyDescent="0.3">
      <c r="B183" s="124" t="s">
        <v>254</v>
      </c>
      <c r="C183" s="503"/>
      <c r="D183" s="503"/>
      <c r="E183" s="503"/>
      <c r="F183" s="503"/>
      <c r="G183" s="503"/>
      <c r="H183" s="503"/>
      <c r="I183" s="503"/>
      <c r="J183" s="457">
        <f t="shared" si="69"/>
        <v>0</v>
      </c>
    </row>
    <row r="184" spans="2:10" ht="18" hidden="1" customHeight="1" outlineLevel="2" x14ac:dyDescent="0.3">
      <c r="B184" s="124" t="s">
        <v>265</v>
      </c>
      <c r="C184" s="503"/>
      <c r="D184" s="503"/>
      <c r="E184" s="503"/>
      <c r="F184" s="503"/>
      <c r="G184" s="503"/>
      <c r="H184" s="503"/>
      <c r="I184" s="503"/>
      <c r="J184" s="457">
        <f t="shared" si="69"/>
        <v>0</v>
      </c>
    </row>
    <row r="185" spans="2:10" ht="18" hidden="1" customHeight="1" outlineLevel="2" x14ac:dyDescent="0.3">
      <c r="B185" s="123" t="s">
        <v>252</v>
      </c>
      <c r="C185" s="458">
        <f t="shared" ref="C185:I185" si="71">SUM(C174+C175+C176-C177-C178-C179-C180-C181+C182-C183)</f>
        <v>2.8963584888824814</v>
      </c>
      <c r="D185" s="458">
        <f t="shared" si="71"/>
        <v>85.462997215037831</v>
      </c>
      <c r="E185" s="458">
        <f t="shared" si="71"/>
        <v>0</v>
      </c>
      <c r="F185" s="458">
        <f t="shared" si="71"/>
        <v>21.556450677023253</v>
      </c>
      <c r="G185" s="458">
        <f t="shared" si="71"/>
        <v>0</v>
      </c>
      <c r="H185" s="458">
        <f t="shared" si="71"/>
        <v>14.646132270773258</v>
      </c>
      <c r="I185" s="458">
        <f t="shared" si="71"/>
        <v>49.100413824199386</v>
      </c>
      <c r="J185" s="458">
        <f t="shared" si="69"/>
        <v>173.66235247591621</v>
      </c>
    </row>
    <row r="186" spans="2:10" ht="18" hidden="1" customHeight="1" outlineLevel="2" x14ac:dyDescent="0.3">
      <c r="B186" s="121" t="s">
        <v>251</v>
      </c>
      <c r="C186" s="459"/>
      <c r="D186" s="459"/>
      <c r="E186" s="459"/>
      <c r="F186" s="459"/>
      <c r="G186" s="459"/>
      <c r="H186" s="459"/>
      <c r="I186" s="459"/>
      <c r="J186" s="459">
        <f t="shared" si="69"/>
        <v>0</v>
      </c>
    </row>
    <row r="187" spans="2:10" ht="18" hidden="1" customHeight="1" outlineLevel="2" x14ac:dyDescent="0.3">
      <c r="B187" s="122" t="s">
        <v>22</v>
      </c>
      <c r="C187" s="460">
        <f t="shared" ref="C187:I187" si="72">SUM(C185-C186)</f>
        <v>2.8963584888824814</v>
      </c>
      <c r="D187" s="460">
        <f t="shared" si="72"/>
        <v>85.462997215037831</v>
      </c>
      <c r="E187" s="460">
        <f t="shared" si="72"/>
        <v>0</v>
      </c>
      <c r="F187" s="460">
        <f t="shared" si="72"/>
        <v>21.556450677023253</v>
      </c>
      <c r="G187" s="460">
        <f t="shared" si="72"/>
        <v>0</v>
      </c>
      <c r="H187" s="460">
        <f t="shared" si="72"/>
        <v>14.646132270773258</v>
      </c>
      <c r="I187" s="460">
        <f t="shared" si="72"/>
        <v>49.100413824199386</v>
      </c>
      <c r="J187" s="460">
        <f t="shared" si="69"/>
        <v>173.66235247591621</v>
      </c>
    </row>
    <row r="188" spans="2:10" ht="18" hidden="1" customHeight="1" outlineLevel="2" x14ac:dyDescent="0.3">
      <c r="B188" s="121" t="s">
        <v>250</v>
      </c>
      <c r="C188" s="504"/>
      <c r="D188" s="504"/>
      <c r="E188" s="504"/>
      <c r="F188" s="504"/>
      <c r="G188" s="504"/>
      <c r="H188" s="504"/>
      <c r="I188" s="504"/>
      <c r="J188" s="461">
        <f t="shared" si="69"/>
        <v>0</v>
      </c>
    </row>
    <row r="189" spans="2:10" ht="18" hidden="1" customHeight="1" outlineLevel="2" thickBot="1" x14ac:dyDescent="0.35">
      <c r="B189" s="120" t="s">
        <v>186</v>
      </c>
      <c r="C189" s="505">
        <f>C185*C$3</f>
        <v>2.8963584888824814</v>
      </c>
      <c r="D189" s="505">
        <f t="shared" ref="D189:I189" si="73">D185*D$3</f>
        <v>68.370397772030273</v>
      </c>
      <c r="E189" s="505">
        <f t="shared" si="73"/>
        <v>0</v>
      </c>
      <c r="F189" s="505">
        <f t="shared" si="73"/>
        <v>10.778225338511627</v>
      </c>
      <c r="G189" s="505">
        <f t="shared" si="73"/>
        <v>0</v>
      </c>
      <c r="H189" s="505">
        <f t="shared" si="73"/>
        <v>7.3230661353866289</v>
      </c>
      <c r="I189" s="505">
        <f t="shared" si="73"/>
        <v>9.8200827648398779</v>
      </c>
      <c r="J189" s="461">
        <f t="shared" si="69"/>
        <v>99.188130499650896</v>
      </c>
    </row>
    <row r="190" spans="2:10" ht="18.600000000000001" collapsed="1" thickBot="1" x14ac:dyDescent="0.4">
      <c r="B190" s="127" t="s">
        <v>267</v>
      </c>
      <c r="C190" s="454">
        <f t="shared" ref="C190:I190" si="74">SUM(C185+C188)</f>
        <v>2.8963584888824814</v>
      </c>
      <c r="D190" s="454">
        <f t="shared" si="74"/>
        <v>85.462997215037831</v>
      </c>
      <c r="E190" s="454">
        <f t="shared" si="74"/>
        <v>0</v>
      </c>
      <c r="F190" s="454">
        <f t="shared" si="74"/>
        <v>21.556450677023253</v>
      </c>
      <c r="G190" s="454">
        <f t="shared" si="74"/>
        <v>0</v>
      </c>
      <c r="H190" s="454">
        <f t="shared" si="74"/>
        <v>14.646132270773258</v>
      </c>
      <c r="I190" s="454">
        <f t="shared" si="74"/>
        <v>49.100413824199386</v>
      </c>
      <c r="J190" s="454">
        <f t="shared" si="69"/>
        <v>173.66235247591621</v>
      </c>
    </row>
    <row r="191" spans="2:10" ht="25.05" hidden="1" customHeight="1" outlineLevel="1" x14ac:dyDescent="0.3">
      <c r="B191" s="126" t="s">
        <v>266</v>
      </c>
      <c r="C191" s="455">
        <f t="shared" ref="C191:J191" si="75">SUM(C190)</f>
        <v>2.8963584888824814</v>
      </c>
      <c r="D191" s="455">
        <f t="shared" si="75"/>
        <v>85.462997215037831</v>
      </c>
      <c r="E191" s="455">
        <f t="shared" si="75"/>
        <v>0</v>
      </c>
      <c r="F191" s="455">
        <f t="shared" si="75"/>
        <v>21.556450677023253</v>
      </c>
      <c r="G191" s="455">
        <f t="shared" si="75"/>
        <v>0</v>
      </c>
      <c r="H191" s="455">
        <f t="shared" si="75"/>
        <v>14.646132270773258</v>
      </c>
      <c r="I191" s="455">
        <f t="shared" si="75"/>
        <v>49.100413824199386</v>
      </c>
      <c r="J191" s="455">
        <f t="shared" si="75"/>
        <v>173.66235247591621</v>
      </c>
    </row>
    <row r="192" spans="2:10" ht="18" hidden="1" customHeight="1" outlineLevel="1" x14ac:dyDescent="0.3">
      <c r="B192" s="123" t="s">
        <v>262</v>
      </c>
      <c r="C192" s="502"/>
      <c r="D192" s="502"/>
      <c r="E192" s="502"/>
      <c r="F192" s="502"/>
      <c r="G192" s="502"/>
      <c r="H192" s="502"/>
      <c r="I192" s="459">
        <f>(O3*D88)/3</f>
        <v>24.580933078447753</v>
      </c>
      <c r="J192" s="456">
        <f t="shared" ref="J192:J207" si="76">SUM(C192:I192)</f>
        <v>24.580933078447753</v>
      </c>
    </row>
    <row r="193" spans="2:10" ht="18" hidden="1" customHeight="1" outlineLevel="1" x14ac:dyDescent="0.3">
      <c r="B193" s="123" t="s">
        <v>261</v>
      </c>
      <c r="C193" s="459"/>
      <c r="D193" s="459"/>
      <c r="E193" s="459"/>
      <c r="F193" s="459"/>
      <c r="G193" s="459"/>
      <c r="H193" s="459"/>
      <c r="I193" s="459"/>
      <c r="J193" s="456">
        <f t="shared" si="76"/>
        <v>0</v>
      </c>
    </row>
    <row r="194" spans="2:10" ht="18" hidden="1" customHeight="1" outlineLevel="1" x14ac:dyDescent="0.3">
      <c r="B194" s="124" t="s">
        <v>260</v>
      </c>
      <c r="C194" s="503">
        <f>C191*$M$3</f>
        <v>7.2408962222062032E-3</v>
      </c>
      <c r="D194" s="503">
        <f t="shared" ref="D194:I194" si="77">D191*$M$3</f>
        <v>0.21365749303759457</v>
      </c>
      <c r="E194" s="503">
        <f t="shared" si="77"/>
        <v>0</v>
      </c>
      <c r="F194" s="503">
        <f t="shared" si="77"/>
        <v>5.3891126692558133E-2</v>
      </c>
      <c r="G194" s="503">
        <f t="shared" si="77"/>
        <v>0</v>
      </c>
      <c r="H194" s="503">
        <f t="shared" si="77"/>
        <v>3.6615330676933143E-2</v>
      </c>
      <c r="I194" s="503">
        <f t="shared" si="77"/>
        <v>0.12275103456049846</v>
      </c>
      <c r="J194" s="457">
        <f t="shared" si="76"/>
        <v>0.43415588118979048</v>
      </c>
    </row>
    <row r="195" spans="2:10" ht="18" hidden="1" customHeight="1" outlineLevel="1" x14ac:dyDescent="0.3">
      <c r="B195" s="124" t="s">
        <v>259</v>
      </c>
      <c r="C195" s="503"/>
      <c r="D195" s="503"/>
      <c r="E195" s="503"/>
      <c r="F195" s="503"/>
      <c r="G195" s="503"/>
      <c r="H195" s="503"/>
      <c r="I195" s="503"/>
      <c r="J195" s="457">
        <f t="shared" si="76"/>
        <v>0</v>
      </c>
    </row>
    <row r="196" spans="2:10" ht="18" hidden="1" customHeight="1" outlineLevel="1" x14ac:dyDescent="0.3">
      <c r="B196" s="124" t="s">
        <v>258</v>
      </c>
      <c r="C196" s="503"/>
      <c r="D196" s="503"/>
      <c r="E196" s="503"/>
      <c r="F196" s="503"/>
      <c r="G196" s="503"/>
      <c r="H196" s="503">
        <v>14</v>
      </c>
      <c r="I196" s="503"/>
      <c r="J196" s="457">
        <f t="shared" si="76"/>
        <v>14</v>
      </c>
    </row>
    <row r="197" spans="2:10" ht="18" hidden="1" customHeight="1" outlineLevel="1" x14ac:dyDescent="0.3">
      <c r="B197" s="124" t="s">
        <v>257</v>
      </c>
      <c r="C197" s="503"/>
      <c r="D197" s="503"/>
      <c r="E197" s="503"/>
      <c r="F197" s="503"/>
      <c r="G197" s="503"/>
      <c r="H197" s="503"/>
      <c r="I197" s="503"/>
      <c r="J197" s="457">
        <f t="shared" si="76"/>
        <v>0</v>
      </c>
    </row>
    <row r="198" spans="2:10" ht="18" hidden="1" customHeight="1" outlineLevel="1" x14ac:dyDescent="0.3">
      <c r="B198" s="124" t="s">
        <v>256</v>
      </c>
      <c r="C198" s="503"/>
      <c r="D198" s="503"/>
      <c r="E198" s="503"/>
      <c r="F198" s="503"/>
      <c r="G198" s="503"/>
      <c r="H198" s="503"/>
      <c r="I198" s="503"/>
      <c r="J198" s="457">
        <f t="shared" si="76"/>
        <v>0</v>
      </c>
    </row>
    <row r="199" spans="2:10" ht="18" hidden="1" customHeight="1" outlineLevel="1" x14ac:dyDescent="0.3">
      <c r="B199" s="125" t="s">
        <v>255</v>
      </c>
      <c r="C199" s="459"/>
      <c r="D199" s="459"/>
      <c r="E199" s="459"/>
      <c r="F199" s="459"/>
      <c r="G199" s="459"/>
      <c r="H199" s="459"/>
      <c r="I199" s="459"/>
      <c r="J199" s="456">
        <f t="shared" si="76"/>
        <v>0</v>
      </c>
    </row>
    <row r="200" spans="2:10" ht="18" hidden="1" customHeight="1" outlineLevel="1" x14ac:dyDescent="0.3">
      <c r="B200" s="124" t="s">
        <v>254</v>
      </c>
      <c r="C200" s="503"/>
      <c r="D200" s="503"/>
      <c r="E200" s="503">
        <f>E185-E194-E114</f>
        <v>0</v>
      </c>
      <c r="F200" s="503"/>
      <c r="G200" s="503"/>
      <c r="H200" s="503"/>
      <c r="I200" s="503"/>
      <c r="J200" s="457">
        <f t="shared" si="76"/>
        <v>0</v>
      </c>
    </row>
    <row r="201" spans="2:10" ht="18" hidden="1" customHeight="1" outlineLevel="1" x14ac:dyDescent="0.3">
      <c r="B201" s="124" t="s">
        <v>265</v>
      </c>
      <c r="C201" s="503"/>
      <c r="D201" s="503"/>
      <c r="E201" s="503"/>
      <c r="F201" s="503"/>
      <c r="G201" s="503"/>
      <c r="H201" s="503"/>
      <c r="I201" s="503"/>
      <c r="J201" s="457">
        <f t="shared" si="76"/>
        <v>0</v>
      </c>
    </row>
    <row r="202" spans="2:10" ht="18" hidden="1" customHeight="1" outlineLevel="1" x14ac:dyDescent="0.3">
      <c r="B202" s="123" t="s">
        <v>252</v>
      </c>
      <c r="C202" s="458">
        <f t="shared" ref="C202:I202" si="78">SUM(C191+C192+C193-C194-C195-C196-C197-C198+C199-C200)</f>
        <v>2.8891175926602752</v>
      </c>
      <c r="D202" s="458">
        <f t="shared" si="78"/>
        <v>85.249339722000229</v>
      </c>
      <c r="E202" s="458">
        <f t="shared" si="78"/>
        <v>0</v>
      </c>
      <c r="F202" s="458">
        <f t="shared" si="78"/>
        <v>21.502559550330695</v>
      </c>
      <c r="G202" s="458">
        <f t="shared" si="78"/>
        <v>0</v>
      </c>
      <c r="H202" s="458">
        <f t="shared" si="78"/>
        <v>0.6095169400963254</v>
      </c>
      <c r="I202" s="458">
        <f t="shared" si="78"/>
        <v>73.558595868086641</v>
      </c>
      <c r="J202" s="458">
        <f t="shared" si="76"/>
        <v>183.80912967317417</v>
      </c>
    </row>
    <row r="203" spans="2:10" ht="18" hidden="1" customHeight="1" outlineLevel="1" x14ac:dyDescent="0.3">
      <c r="B203" s="121" t="s">
        <v>251</v>
      </c>
      <c r="C203" s="459"/>
      <c r="D203" s="459"/>
      <c r="E203" s="459"/>
      <c r="F203" s="459"/>
      <c r="G203" s="459"/>
      <c r="H203" s="459"/>
      <c r="I203" s="459"/>
      <c r="J203" s="459">
        <f t="shared" si="76"/>
        <v>0</v>
      </c>
    </row>
    <row r="204" spans="2:10" ht="18" hidden="1" customHeight="1" outlineLevel="1" x14ac:dyDescent="0.3">
      <c r="B204" s="122" t="s">
        <v>22</v>
      </c>
      <c r="C204" s="460">
        <f t="shared" ref="C204:I204" si="79">SUM(C202-C203)</f>
        <v>2.8891175926602752</v>
      </c>
      <c r="D204" s="460">
        <f t="shared" si="79"/>
        <v>85.249339722000229</v>
      </c>
      <c r="E204" s="460">
        <f t="shared" si="79"/>
        <v>0</v>
      </c>
      <c r="F204" s="460">
        <f t="shared" si="79"/>
        <v>21.502559550330695</v>
      </c>
      <c r="G204" s="460">
        <f t="shared" si="79"/>
        <v>0</v>
      </c>
      <c r="H204" s="460">
        <f t="shared" si="79"/>
        <v>0.6095169400963254</v>
      </c>
      <c r="I204" s="460">
        <f t="shared" si="79"/>
        <v>73.558595868086641</v>
      </c>
      <c r="J204" s="460">
        <f t="shared" si="76"/>
        <v>183.80912967317417</v>
      </c>
    </row>
    <row r="205" spans="2:10" ht="18" hidden="1" customHeight="1" outlineLevel="1" x14ac:dyDescent="0.3">
      <c r="B205" s="121" t="s">
        <v>250</v>
      </c>
      <c r="C205" s="504"/>
      <c r="D205" s="504"/>
      <c r="E205" s="504"/>
      <c r="F205" s="504"/>
      <c r="G205" s="504"/>
      <c r="H205" s="504"/>
      <c r="I205" s="504"/>
      <c r="J205" s="461">
        <f t="shared" si="76"/>
        <v>0</v>
      </c>
    </row>
    <row r="206" spans="2:10" ht="18" hidden="1" customHeight="1" outlineLevel="1" thickBot="1" x14ac:dyDescent="0.35">
      <c r="B206" s="120" t="s">
        <v>186</v>
      </c>
      <c r="C206" s="505">
        <f>C202*C$3</f>
        <v>2.8891175926602752</v>
      </c>
      <c r="D206" s="505">
        <f t="shared" ref="D206:I206" si="80">D202*D$3</f>
        <v>68.199471777600181</v>
      </c>
      <c r="E206" s="505">
        <f t="shared" si="80"/>
        <v>0</v>
      </c>
      <c r="F206" s="505">
        <f t="shared" si="80"/>
        <v>10.751279775165347</v>
      </c>
      <c r="G206" s="505">
        <f t="shared" si="80"/>
        <v>0</v>
      </c>
      <c r="H206" s="505">
        <f t="shared" si="80"/>
        <v>0.3047584700481627</v>
      </c>
      <c r="I206" s="505">
        <f t="shared" si="80"/>
        <v>14.711719173617329</v>
      </c>
      <c r="J206" s="461">
        <f t="shared" si="76"/>
        <v>96.856346789091276</v>
      </c>
    </row>
    <row r="207" spans="2:10" ht="18" collapsed="1" x14ac:dyDescent="0.35">
      <c r="B207" s="119" t="s">
        <v>264</v>
      </c>
      <c r="C207" s="462">
        <f t="shared" ref="C207:I207" si="81">SUM(C202+C205)</f>
        <v>2.8891175926602752</v>
      </c>
      <c r="D207" s="462">
        <f t="shared" si="81"/>
        <v>85.249339722000229</v>
      </c>
      <c r="E207" s="462">
        <f t="shared" si="81"/>
        <v>0</v>
      </c>
      <c r="F207" s="462">
        <f t="shared" si="81"/>
        <v>21.502559550330695</v>
      </c>
      <c r="G207" s="462">
        <f t="shared" si="81"/>
        <v>0</v>
      </c>
      <c r="H207" s="462">
        <f t="shared" si="81"/>
        <v>0.6095169400963254</v>
      </c>
      <c r="I207" s="462">
        <f t="shared" si="81"/>
        <v>73.558595868086641</v>
      </c>
      <c r="J207" s="462">
        <f t="shared" si="76"/>
        <v>183.80912967317417</v>
      </c>
    </row>
    <row r="208" spans="2:10" ht="18" x14ac:dyDescent="0.35">
      <c r="B208" s="118" t="s">
        <v>263</v>
      </c>
      <c r="C208" s="117"/>
      <c r="D208" s="117"/>
      <c r="E208" s="117"/>
      <c r="F208" s="117"/>
      <c r="G208" s="117"/>
      <c r="H208" s="117"/>
      <c r="I208" s="117"/>
      <c r="J208" s="117"/>
    </row>
    <row r="209" spans="2:10" ht="18" customHeight="1" x14ac:dyDescent="0.3">
      <c r="B209" s="116" t="s">
        <v>262</v>
      </c>
      <c r="C209" s="556"/>
      <c r="D209" s="556"/>
      <c r="E209" s="556"/>
      <c r="F209" s="556"/>
      <c r="G209" s="556"/>
      <c r="H209" s="556"/>
      <c r="I209" s="556">
        <f t="shared" ref="I209:I217" si="82">ROUNDUP(SUM(I7+I22+I39+I56+I73+I90+I107+I124+I141+I158+I175+I192),0)</f>
        <v>74</v>
      </c>
      <c r="J209" s="557">
        <f t="shared" ref="J209:J218" si="83">ROUNDUP(SUM(C209:I209),0)</f>
        <v>74</v>
      </c>
    </row>
    <row r="210" spans="2:10" ht="18" customHeight="1" x14ac:dyDescent="0.3">
      <c r="B210" s="113" t="s">
        <v>261</v>
      </c>
      <c r="C210" s="558">
        <f t="shared" ref="C210:H217" si="84">ROUNDUP(SUM(C8+C23+C40+C57+C74+C91+C108+C125+C142+C159+C176+C193),0)</f>
        <v>0</v>
      </c>
      <c r="D210" s="558">
        <f t="shared" si="84"/>
        <v>0</v>
      </c>
      <c r="E210" s="558">
        <f t="shared" si="84"/>
        <v>0</v>
      </c>
      <c r="F210" s="558">
        <f t="shared" si="84"/>
        <v>0</v>
      </c>
      <c r="G210" s="558">
        <f t="shared" si="84"/>
        <v>0</v>
      </c>
      <c r="H210" s="558">
        <f t="shared" si="84"/>
        <v>0</v>
      </c>
      <c r="I210" s="558">
        <f t="shared" si="82"/>
        <v>0</v>
      </c>
      <c r="J210" s="559">
        <f t="shared" si="83"/>
        <v>0</v>
      </c>
    </row>
    <row r="211" spans="2:10" ht="18" customHeight="1" x14ac:dyDescent="0.3">
      <c r="B211" s="114" t="s">
        <v>260</v>
      </c>
      <c r="C211" s="560">
        <f t="shared" si="84"/>
        <v>1</v>
      </c>
      <c r="D211" s="560">
        <f t="shared" si="84"/>
        <v>3</v>
      </c>
      <c r="E211" s="560">
        <f t="shared" si="84"/>
        <v>0</v>
      </c>
      <c r="F211" s="560">
        <f t="shared" si="84"/>
        <v>1</v>
      </c>
      <c r="G211" s="560">
        <f t="shared" si="84"/>
        <v>0</v>
      </c>
      <c r="H211" s="560">
        <f t="shared" si="84"/>
        <v>1</v>
      </c>
      <c r="I211" s="560">
        <f t="shared" si="82"/>
        <v>2</v>
      </c>
      <c r="J211" s="561">
        <f t="shared" si="83"/>
        <v>8</v>
      </c>
    </row>
    <row r="212" spans="2:10" ht="18" customHeight="1" x14ac:dyDescent="0.3">
      <c r="B212" s="114" t="s">
        <v>259</v>
      </c>
      <c r="C212" s="560">
        <f t="shared" si="84"/>
        <v>0</v>
      </c>
      <c r="D212" s="560">
        <f t="shared" si="84"/>
        <v>0</v>
      </c>
      <c r="E212" s="560">
        <f t="shared" si="84"/>
        <v>0</v>
      </c>
      <c r="F212" s="560">
        <f t="shared" si="84"/>
        <v>0</v>
      </c>
      <c r="G212" s="560">
        <f t="shared" si="84"/>
        <v>0</v>
      </c>
      <c r="H212" s="560">
        <f t="shared" si="84"/>
        <v>0</v>
      </c>
      <c r="I212" s="560">
        <f t="shared" si="82"/>
        <v>0</v>
      </c>
      <c r="J212" s="561">
        <f t="shared" si="83"/>
        <v>0</v>
      </c>
    </row>
    <row r="213" spans="2:10" ht="18" customHeight="1" x14ac:dyDescent="0.3">
      <c r="B213" s="114" t="s">
        <v>258</v>
      </c>
      <c r="C213" s="560">
        <f t="shared" si="84"/>
        <v>1</v>
      </c>
      <c r="D213" s="560">
        <f t="shared" si="84"/>
        <v>12</v>
      </c>
      <c r="E213" s="560">
        <f t="shared" si="84"/>
        <v>0</v>
      </c>
      <c r="F213" s="560">
        <f t="shared" si="84"/>
        <v>15</v>
      </c>
      <c r="G213" s="560">
        <f t="shared" si="84"/>
        <v>0</v>
      </c>
      <c r="H213" s="560">
        <f t="shared" si="84"/>
        <v>36</v>
      </c>
      <c r="I213" s="560">
        <f t="shared" si="82"/>
        <v>0</v>
      </c>
      <c r="J213" s="561">
        <f t="shared" si="83"/>
        <v>64</v>
      </c>
    </row>
    <row r="214" spans="2:10" ht="18" customHeight="1" x14ac:dyDescent="0.3">
      <c r="B214" s="114" t="s">
        <v>257</v>
      </c>
      <c r="C214" s="560">
        <f t="shared" si="84"/>
        <v>0</v>
      </c>
      <c r="D214" s="560">
        <f t="shared" si="84"/>
        <v>0</v>
      </c>
      <c r="E214" s="560">
        <f t="shared" si="84"/>
        <v>0</v>
      </c>
      <c r="F214" s="560">
        <f t="shared" si="84"/>
        <v>0</v>
      </c>
      <c r="G214" s="560">
        <f t="shared" si="84"/>
        <v>0</v>
      </c>
      <c r="H214" s="560">
        <f t="shared" si="84"/>
        <v>0</v>
      </c>
      <c r="I214" s="560">
        <f t="shared" si="82"/>
        <v>0</v>
      </c>
      <c r="J214" s="561">
        <f t="shared" si="83"/>
        <v>0</v>
      </c>
    </row>
    <row r="215" spans="2:10" ht="18" customHeight="1" x14ac:dyDescent="0.3">
      <c r="B215" s="114" t="s">
        <v>256</v>
      </c>
      <c r="C215" s="560">
        <f t="shared" si="84"/>
        <v>0</v>
      </c>
      <c r="D215" s="560">
        <f t="shared" si="84"/>
        <v>0</v>
      </c>
      <c r="E215" s="560">
        <f t="shared" si="84"/>
        <v>0</v>
      </c>
      <c r="F215" s="560">
        <f t="shared" si="84"/>
        <v>0</v>
      </c>
      <c r="G215" s="560">
        <f t="shared" si="84"/>
        <v>0</v>
      </c>
      <c r="H215" s="560">
        <f t="shared" si="84"/>
        <v>0</v>
      </c>
      <c r="I215" s="560">
        <f t="shared" si="82"/>
        <v>0</v>
      </c>
      <c r="J215" s="561">
        <f t="shared" si="83"/>
        <v>0</v>
      </c>
    </row>
    <row r="216" spans="2:10" ht="18" customHeight="1" x14ac:dyDescent="0.3">
      <c r="B216" s="115" t="s">
        <v>255</v>
      </c>
      <c r="C216" s="558">
        <f t="shared" si="84"/>
        <v>0</v>
      </c>
      <c r="D216" s="558">
        <f t="shared" si="84"/>
        <v>0</v>
      </c>
      <c r="E216" s="558">
        <f t="shared" si="84"/>
        <v>0</v>
      </c>
      <c r="F216" s="558">
        <f t="shared" si="84"/>
        <v>37</v>
      </c>
      <c r="G216" s="558">
        <f t="shared" si="84"/>
        <v>0</v>
      </c>
      <c r="H216" s="558">
        <f t="shared" si="84"/>
        <v>37</v>
      </c>
      <c r="I216" s="558">
        <f t="shared" si="82"/>
        <v>0</v>
      </c>
      <c r="J216" s="559">
        <f t="shared" si="83"/>
        <v>74</v>
      </c>
    </row>
    <row r="217" spans="2:10" ht="18" customHeight="1" x14ac:dyDescent="0.3">
      <c r="B217" s="114" t="s">
        <v>254</v>
      </c>
      <c r="C217" s="560">
        <f t="shared" si="84"/>
        <v>0</v>
      </c>
      <c r="D217" s="560">
        <f t="shared" si="84"/>
        <v>0</v>
      </c>
      <c r="E217" s="560">
        <f t="shared" si="84"/>
        <v>0</v>
      </c>
      <c r="F217" s="560">
        <f t="shared" si="84"/>
        <v>0</v>
      </c>
      <c r="G217" s="560">
        <f t="shared" si="84"/>
        <v>0</v>
      </c>
      <c r="H217" s="560">
        <f t="shared" si="84"/>
        <v>0</v>
      </c>
      <c r="I217" s="560">
        <f t="shared" si="82"/>
        <v>74</v>
      </c>
      <c r="J217" s="561">
        <f t="shared" si="83"/>
        <v>74</v>
      </c>
    </row>
    <row r="218" spans="2:10" ht="18" customHeight="1" x14ac:dyDescent="0.3">
      <c r="B218" s="114" t="s">
        <v>253</v>
      </c>
      <c r="C218" s="560">
        <f t="shared" ref="C218:I218" si="85">ROUNDUP(SUM(C201),0)</f>
        <v>0</v>
      </c>
      <c r="D218" s="560">
        <f t="shared" si="85"/>
        <v>0</v>
      </c>
      <c r="E218" s="560">
        <f t="shared" si="85"/>
        <v>0</v>
      </c>
      <c r="F218" s="560">
        <f t="shared" si="85"/>
        <v>0</v>
      </c>
      <c r="G218" s="560">
        <f t="shared" si="85"/>
        <v>0</v>
      </c>
      <c r="H218" s="560">
        <f t="shared" si="85"/>
        <v>0</v>
      </c>
      <c r="I218" s="560">
        <f t="shared" si="85"/>
        <v>0</v>
      </c>
      <c r="J218" s="561">
        <f t="shared" si="83"/>
        <v>0</v>
      </c>
    </row>
    <row r="219" spans="2:10" ht="18" customHeight="1" x14ac:dyDescent="0.3">
      <c r="B219" s="113" t="s">
        <v>252</v>
      </c>
      <c r="C219" s="562">
        <f t="shared" ref="C219:J219" si="86">ROUNDUP(SUM(C207),0)</f>
        <v>3</v>
      </c>
      <c r="D219" s="562">
        <f t="shared" si="86"/>
        <v>86</v>
      </c>
      <c r="E219" s="562">
        <f t="shared" si="86"/>
        <v>0</v>
      </c>
      <c r="F219" s="562">
        <f t="shared" si="86"/>
        <v>22</v>
      </c>
      <c r="G219" s="562">
        <f t="shared" si="86"/>
        <v>0</v>
      </c>
      <c r="H219" s="562">
        <f>ROUNDUP(SUM(H207),0)</f>
        <v>1</v>
      </c>
      <c r="I219" s="562">
        <f t="shared" si="86"/>
        <v>74</v>
      </c>
      <c r="J219" s="562">
        <f t="shared" si="86"/>
        <v>184</v>
      </c>
    </row>
    <row r="220" spans="2:10" ht="18" customHeight="1" x14ac:dyDescent="0.3">
      <c r="B220" s="112" t="s">
        <v>251</v>
      </c>
      <c r="C220" s="558"/>
      <c r="D220" s="558"/>
      <c r="E220" s="558"/>
      <c r="F220" s="558"/>
      <c r="G220" s="558"/>
      <c r="H220" s="558"/>
      <c r="I220" s="558"/>
      <c r="J220" s="558">
        <f>ROUNDUP(SUM(C220:I220),0)</f>
        <v>0</v>
      </c>
    </row>
    <row r="221" spans="2:10" ht="18" customHeight="1" x14ac:dyDescent="0.3">
      <c r="B221" s="112" t="s">
        <v>22</v>
      </c>
      <c r="C221" s="563">
        <f t="shared" ref="C221:I221" si="87">ROUNDUP(SUM(C219-C220),0)</f>
        <v>3</v>
      </c>
      <c r="D221" s="563">
        <f t="shared" si="87"/>
        <v>86</v>
      </c>
      <c r="E221" s="563">
        <f t="shared" si="87"/>
        <v>0</v>
      </c>
      <c r="F221" s="563">
        <f t="shared" si="87"/>
        <v>22</v>
      </c>
      <c r="G221" s="563">
        <f t="shared" si="87"/>
        <v>0</v>
      </c>
      <c r="H221" s="563">
        <f t="shared" si="87"/>
        <v>1</v>
      </c>
      <c r="I221" s="563">
        <f t="shared" si="87"/>
        <v>74</v>
      </c>
      <c r="J221" s="563">
        <f>ROUNDUP(SUM(C221:I221),0)</f>
        <v>186</v>
      </c>
    </row>
    <row r="222" spans="2:10" ht="18" customHeight="1" x14ac:dyDescent="0.3">
      <c r="B222" s="112" t="s">
        <v>250</v>
      </c>
      <c r="C222" s="563"/>
      <c r="D222" s="563"/>
      <c r="E222" s="563"/>
      <c r="F222" s="563"/>
      <c r="G222" s="563"/>
      <c r="H222" s="563"/>
      <c r="I222" s="563"/>
      <c r="J222" s="564">
        <f>ROUNDUP(SUM(C222:I222),0)</f>
        <v>0</v>
      </c>
    </row>
    <row r="223" spans="2:10" ht="18" customHeight="1" thickBot="1" x14ac:dyDescent="0.35">
      <c r="B223" s="111" t="s">
        <v>249</v>
      </c>
      <c r="C223" s="565"/>
      <c r="D223" s="565"/>
      <c r="E223" s="565"/>
      <c r="F223" s="565"/>
      <c r="G223" s="565"/>
      <c r="H223" s="565"/>
      <c r="I223" s="565"/>
      <c r="J223" s="564">
        <f>ROUNDUP(SUM(C223:I223),0)</f>
        <v>0</v>
      </c>
    </row>
    <row r="224" spans="2:10" ht="25.05" customHeight="1" thickBot="1" x14ac:dyDescent="0.35">
      <c r="B224" s="110" t="s">
        <v>248</v>
      </c>
      <c r="C224" s="518">
        <f t="shared" ref="C224:I224" si="88">SUM(C219+C222)</f>
        <v>3</v>
      </c>
      <c r="D224" s="518">
        <f t="shared" si="88"/>
        <v>86</v>
      </c>
      <c r="E224" s="518">
        <f t="shared" si="88"/>
        <v>0</v>
      </c>
      <c r="F224" s="518">
        <f t="shared" si="88"/>
        <v>22</v>
      </c>
      <c r="G224" s="518">
        <f t="shared" si="88"/>
        <v>0</v>
      </c>
      <c r="H224" s="518">
        <f t="shared" si="88"/>
        <v>1</v>
      </c>
      <c r="I224" s="518">
        <f t="shared" si="88"/>
        <v>74</v>
      </c>
      <c r="J224" s="519">
        <f>SUM(C224:I224)</f>
        <v>186</v>
      </c>
    </row>
    <row r="226" spans="2:13" x14ac:dyDescent="0.3">
      <c r="B226" s="109" t="s">
        <v>247</v>
      </c>
      <c r="C226" s="108">
        <f t="shared" ref="C226:J226" si="89">SUM(C224- C6)</f>
        <v>-1</v>
      </c>
      <c r="D226" s="108">
        <f t="shared" si="89"/>
        <v>-14</v>
      </c>
      <c r="E226" s="108">
        <f t="shared" si="89"/>
        <v>0</v>
      </c>
      <c r="F226" s="108">
        <f t="shared" si="89"/>
        <v>22</v>
      </c>
      <c r="G226" s="108">
        <f t="shared" si="89"/>
        <v>0</v>
      </c>
      <c r="H226" s="108">
        <f t="shared" si="89"/>
        <v>1</v>
      </c>
      <c r="I226" s="108">
        <f t="shared" si="89"/>
        <v>-1</v>
      </c>
      <c r="J226" s="108">
        <f t="shared" si="89"/>
        <v>7</v>
      </c>
    </row>
    <row r="227" spans="2:13" x14ac:dyDescent="0.3">
      <c r="B227" s="90"/>
      <c r="C227" s="89"/>
      <c r="D227" s="89"/>
      <c r="E227" s="89"/>
      <c r="F227" s="89"/>
      <c r="G227" s="89"/>
      <c r="H227" s="89"/>
      <c r="I227" s="89"/>
      <c r="J227" s="89"/>
    </row>
    <row r="228" spans="2:13" x14ac:dyDescent="0.3">
      <c r="B228" s="107" t="s">
        <v>727</v>
      </c>
      <c r="C228" s="104">
        <v>1500</v>
      </c>
      <c r="D228" s="104">
        <v>800</v>
      </c>
      <c r="E228" s="104">
        <v>500</v>
      </c>
      <c r="F228" s="104">
        <v>400</v>
      </c>
      <c r="G228" s="104">
        <v>300</v>
      </c>
      <c r="H228" s="104">
        <v>250</v>
      </c>
      <c r="I228" s="104">
        <v>100</v>
      </c>
      <c r="J228" s="106"/>
    </row>
    <row r="229" spans="2:13" x14ac:dyDescent="0.3">
      <c r="B229" s="105" t="s">
        <v>738</v>
      </c>
      <c r="C229" s="104">
        <v>1500</v>
      </c>
      <c r="D229" s="104">
        <v>800</v>
      </c>
      <c r="E229" s="104">
        <v>500</v>
      </c>
      <c r="F229" s="104">
        <v>400</v>
      </c>
      <c r="G229" s="104">
        <v>300</v>
      </c>
      <c r="H229" s="104">
        <v>250</v>
      </c>
      <c r="I229" s="104">
        <v>100</v>
      </c>
      <c r="J229" s="103"/>
    </row>
    <row r="230" spans="2:13" x14ac:dyDescent="0.3">
      <c r="B230" s="102"/>
      <c r="C230" s="89"/>
      <c r="D230" s="89"/>
      <c r="E230" s="89"/>
      <c r="F230" s="89"/>
      <c r="G230" s="89"/>
      <c r="H230" s="89"/>
      <c r="I230" s="89"/>
      <c r="J230" s="89"/>
    </row>
    <row r="231" spans="2:13" x14ac:dyDescent="0.3">
      <c r="B231" s="101" t="s">
        <v>728</v>
      </c>
      <c r="C231" s="100">
        <f t="shared" ref="C231:I231" si="90">SUM(C6*C228)</f>
        <v>6000</v>
      </c>
      <c r="D231" s="100">
        <f t="shared" si="90"/>
        <v>80000</v>
      </c>
      <c r="E231" s="100">
        <f t="shared" si="90"/>
        <v>0</v>
      </c>
      <c r="F231" s="100">
        <f t="shared" si="90"/>
        <v>0</v>
      </c>
      <c r="G231" s="100">
        <f t="shared" si="90"/>
        <v>0</v>
      </c>
      <c r="H231" s="100">
        <f t="shared" si="90"/>
        <v>0</v>
      </c>
      <c r="I231" s="100">
        <f t="shared" si="90"/>
        <v>7500</v>
      </c>
      <c r="J231" s="100">
        <f>SUM(C231:I231)</f>
        <v>93500</v>
      </c>
    </row>
    <row r="232" spans="2:13" x14ac:dyDescent="0.3">
      <c r="B232" s="99" t="s">
        <v>739</v>
      </c>
      <c r="C232" s="98">
        <f t="shared" ref="C232:I232" si="91">SUM(C224*C229)</f>
        <v>4500</v>
      </c>
      <c r="D232" s="98">
        <f t="shared" si="91"/>
        <v>68800</v>
      </c>
      <c r="E232" s="98">
        <f t="shared" si="91"/>
        <v>0</v>
      </c>
      <c r="F232" s="98">
        <f t="shared" si="91"/>
        <v>8800</v>
      </c>
      <c r="G232" s="98">
        <f t="shared" si="91"/>
        <v>0</v>
      </c>
      <c r="H232" s="98">
        <f t="shared" si="91"/>
        <v>250</v>
      </c>
      <c r="I232" s="98">
        <f t="shared" si="91"/>
        <v>7400</v>
      </c>
      <c r="J232" s="98">
        <f>SUM(C232:I232)</f>
        <v>89750</v>
      </c>
      <c r="K232" s="97">
        <f>J232-J231</f>
        <v>-3750</v>
      </c>
      <c r="L232" s="357"/>
    </row>
    <row r="233" spans="2:13" ht="24" customHeight="1" x14ac:dyDescent="0.3">
      <c r="B233" s="612" t="s">
        <v>734</v>
      </c>
      <c r="C233" s="612"/>
      <c r="D233" s="612"/>
      <c r="E233" s="612"/>
      <c r="F233" s="612"/>
      <c r="G233" s="612"/>
      <c r="H233" s="612"/>
      <c r="I233" s="612"/>
      <c r="J233" s="612"/>
      <c r="K233" s="96"/>
      <c r="L233" s="96"/>
    </row>
    <row r="234" spans="2:13" x14ac:dyDescent="0.3">
      <c r="B234" s="95">
        <v>46023</v>
      </c>
      <c r="C234" s="94">
        <f t="shared" ref="C234:I234" si="92">SUM(C20*C229)</f>
        <v>5985</v>
      </c>
      <c r="D234" s="94">
        <f t="shared" si="92"/>
        <v>79800</v>
      </c>
      <c r="E234" s="94">
        <f t="shared" si="92"/>
        <v>0</v>
      </c>
      <c r="F234" s="94">
        <f t="shared" si="92"/>
        <v>0</v>
      </c>
      <c r="G234" s="94">
        <f t="shared" si="92"/>
        <v>0</v>
      </c>
      <c r="H234" s="94">
        <f t="shared" si="92"/>
        <v>0</v>
      </c>
      <c r="I234" s="94">
        <f t="shared" si="92"/>
        <v>7481.25</v>
      </c>
      <c r="J234" s="91">
        <f t="shared" ref="J234:J245" si="93">SUM(C234:I234)</f>
        <v>93266.25</v>
      </c>
      <c r="M234" s="97"/>
    </row>
    <row r="235" spans="2:13" x14ac:dyDescent="0.3">
      <c r="B235" s="95">
        <v>46054</v>
      </c>
      <c r="C235" s="93">
        <f t="shared" ref="C235:I235" si="94">SUM(C37*C229)</f>
        <v>5970.0375000000004</v>
      </c>
      <c r="D235" s="93">
        <f t="shared" si="94"/>
        <v>79600.5</v>
      </c>
      <c r="E235" s="93">
        <f t="shared" si="94"/>
        <v>0</v>
      </c>
      <c r="F235" s="93">
        <f t="shared" si="94"/>
        <v>0</v>
      </c>
      <c r="G235" s="93">
        <f t="shared" si="94"/>
        <v>0</v>
      </c>
      <c r="H235" s="93">
        <f t="shared" si="94"/>
        <v>0</v>
      </c>
      <c r="I235" s="93">
        <f t="shared" si="94"/>
        <v>7462.546875</v>
      </c>
      <c r="J235" s="91">
        <f t="shared" si="93"/>
        <v>93033.084375000006</v>
      </c>
      <c r="M235" s="513"/>
    </row>
    <row r="236" spans="2:13" x14ac:dyDescent="0.3">
      <c r="B236" s="95">
        <v>46082</v>
      </c>
      <c r="C236" s="93">
        <f t="shared" ref="C236:I236" si="95">SUM(C54*C229)</f>
        <v>5955.1124062500003</v>
      </c>
      <c r="D236" s="93">
        <f t="shared" si="95"/>
        <v>79401.498749999999</v>
      </c>
      <c r="E236" s="93">
        <f t="shared" si="95"/>
        <v>0</v>
      </c>
      <c r="F236" s="93">
        <f t="shared" si="95"/>
        <v>0</v>
      </c>
      <c r="G236" s="93">
        <f t="shared" si="95"/>
        <v>0</v>
      </c>
      <c r="H236" s="93">
        <f t="shared" si="95"/>
        <v>0</v>
      </c>
      <c r="I236" s="93">
        <f t="shared" si="95"/>
        <v>7443.890507812499</v>
      </c>
      <c r="J236" s="91">
        <f t="shared" si="93"/>
        <v>92800.501664062496</v>
      </c>
    </row>
    <row r="237" spans="2:13" x14ac:dyDescent="0.3">
      <c r="B237" s="95">
        <v>46113</v>
      </c>
      <c r="C237" s="93">
        <f t="shared" ref="C237:I237" si="96">SUM(C71*C229)</f>
        <v>5940.2246252343757</v>
      </c>
      <c r="D237" s="93">
        <f t="shared" si="96"/>
        <v>79202.995003125005</v>
      </c>
      <c r="E237" s="93">
        <f t="shared" si="96"/>
        <v>0</v>
      </c>
      <c r="F237" s="93">
        <f t="shared" si="96"/>
        <v>0</v>
      </c>
      <c r="G237" s="93">
        <f t="shared" si="96"/>
        <v>0</v>
      </c>
      <c r="H237" s="93">
        <f t="shared" si="96"/>
        <v>0</v>
      </c>
      <c r="I237" s="93">
        <f t="shared" si="96"/>
        <v>7425.2807815429678</v>
      </c>
      <c r="J237" s="91">
        <f t="shared" si="93"/>
        <v>92568.50040990235</v>
      </c>
    </row>
    <row r="238" spans="2:13" x14ac:dyDescent="0.3">
      <c r="B238" s="95">
        <v>46143</v>
      </c>
      <c r="C238" s="93">
        <f t="shared" ref="C238:I238" si="97">SUM(C88*C229)</f>
        <v>5925.3740636712892</v>
      </c>
      <c r="D238" s="93">
        <f t="shared" si="97"/>
        <v>69404.987515617191</v>
      </c>
      <c r="E238" s="93">
        <f t="shared" si="97"/>
        <v>0</v>
      </c>
      <c r="F238" s="93">
        <f t="shared" si="97"/>
        <v>0</v>
      </c>
      <c r="G238" s="93">
        <f t="shared" si="97"/>
        <v>0</v>
      </c>
      <c r="H238" s="93">
        <f t="shared" si="97"/>
        <v>0</v>
      </c>
      <c r="I238" s="93">
        <f t="shared" si="97"/>
        <v>7406.7175795891108</v>
      </c>
      <c r="J238" s="91">
        <f t="shared" si="93"/>
        <v>82737.07915887759</v>
      </c>
    </row>
    <row r="239" spans="2:13" x14ac:dyDescent="0.3">
      <c r="B239" s="95">
        <v>46174</v>
      </c>
      <c r="C239" s="93">
        <f t="shared" ref="C239:I239" si="98">SUM(C105*C229)</f>
        <v>5910.5606285121112</v>
      </c>
      <c r="D239" s="93">
        <f t="shared" si="98"/>
        <v>69231.475046828142</v>
      </c>
      <c r="E239" s="93">
        <f t="shared" si="98"/>
        <v>0</v>
      </c>
      <c r="F239" s="93">
        <f t="shared" si="98"/>
        <v>0</v>
      </c>
      <c r="G239" s="93">
        <f t="shared" si="98"/>
        <v>0</v>
      </c>
      <c r="H239" s="93">
        <f t="shared" si="98"/>
        <v>0</v>
      </c>
      <c r="I239" s="93">
        <f t="shared" si="98"/>
        <v>7388.2007856401369</v>
      </c>
      <c r="J239" s="91">
        <f t="shared" si="93"/>
        <v>82530.236460980392</v>
      </c>
    </row>
    <row r="240" spans="2:13" x14ac:dyDescent="0.3">
      <c r="B240" s="95">
        <v>46204</v>
      </c>
      <c r="C240" s="93">
        <f t="shared" ref="C240:I240" si="99">SUM(C122*C229)</f>
        <v>5895.7842269408311</v>
      </c>
      <c r="D240" s="93">
        <f t="shared" si="99"/>
        <v>69058.396359211081</v>
      </c>
      <c r="E240" s="93">
        <f t="shared" si="99"/>
        <v>0</v>
      </c>
      <c r="F240" s="93">
        <f t="shared" si="99"/>
        <v>14739.460567352075</v>
      </c>
      <c r="G240" s="93">
        <f t="shared" si="99"/>
        <v>0</v>
      </c>
      <c r="H240" s="93">
        <f t="shared" si="99"/>
        <v>9212.1628545950462</v>
      </c>
      <c r="I240" s="93">
        <f t="shared" si="99"/>
        <v>0</v>
      </c>
      <c r="J240" s="91">
        <f t="shared" si="93"/>
        <v>98905.804008099032</v>
      </c>
    </row>
    <row r="241" spans="2:10" x14ac:dyDescent="0.3">
      <c r="B241" s="95">
        <v>46235</v>
      </c>
      <c r="C241" s="93">
        <f t="shared" ref="C241:I241" si="100">SUM(C139*C229)</f>
        <v>5881.0447663734785</v>
      </c>
      <c r="D241" s="93">
        <f t="shared" si="100"/>
        <v>68885.750368313049</v>
      </c>
      <c r="E241" s="93">
        <f t="shared" si="100"/>
        <v>0</v>
      </c>
      <c r="F241" s="93">
        <f t="shared" si="100"/>
        <v>14702.611915933692</v>
      </c>
      <c r="G241" s="93">
        <f t="shared" si="100"/>
        <v>0</v>
      </c>
      <c r="H241" s="93">
        <f t="shared" si="100"/>
        <v>3689.1324474585581</v>
      </c>
      <c r="I241" s="93">
        <f t="shared" si="100"/>
        <v>0</v>
      </c>
      <c r="J241" s="91">
        <f t="shared" si="93"/>
        <v>93158.539498078782</v>
      </c>
    </row>
    <row r="242" spans="2:10" x14ac:dyDescent="0.3">
      <c r="B242" s="95">
        <v>46266</v>
      </c>
      <c r="C242" s="93">
        <f t="shared" ref="C242:I242" si="101">SUM(C156*C229)</f>
        <v>4366.3421544575449</v>
      </c>
      <c r="D242" s="93">
        <f t="shared" si="101"/>
        <v>68713.535992392266</v>
      </c>
      <c r="E242" s="93">
        <f t="shared" si="101"/>
        <v>0</v>
      </c>
      <c r="F242" s="93">
        <f t="shared" si="101"/>
        <v>8665.8553861438577</v>
      </c>
      <c r="G242" s="93">
        <f t="shared" si="101"/>
        <v>0</v>
      </c>
      <c r="H242" s="93">
        <f t="shared" si="101"/>
        <v>3679.9096163399117</v>
      </c>
      <c r="I242" s="93">
        <f t="shared" si="101"/>
        <v>0</v>
      </c>
      <c r="J242" s="91">
        <f t="shared" si="93"/>
        <v>85425.643149333569</v>
      </c>
    </row>
    <row r="243" spans="2:10" x14ac:dyDescent="0.3">
      <c r="B243" s="95">
        <v>46296</v>
      </c>
      <c r="C243" s="93">
        <f t="shared" ref="C243:I243" si="102">SUM(C173*C229)</f>
        <v>4355.4262990714005</v>
      </c>
      <c r="D243" s="93">
        <f t="shared" si="102"/>
        <v>68541.752152411282</v>
      </c>
      <c r="E243" s="93">
        <f t="shared" si="102"/>
        <v>0</v>
      </c>
      <c r="F243" s="93">
        <f t="shared" si="102"/>
        <v>8644.1907476784982</v>
      </c>
      <c r="G243" s="93">
        <f t="shared" si="102"/>
        <v>0</v>
      </c>
      <c r="H243" s="93">
        <f t="shared" si="102"/>
        <v>3670.7098422990621</v>
      </c>
      <c r="I243" s="93">
        <f t="shared" si="102"/>
        <v>2458.0933078447752</v>
      </c>
      <c r="J243" s="91">
        <f t="shared" si="93"/>
        <v>87670.172349305023</v>
      </c>
    </row>
    <row r="244" spans="2:10" x14ac:dyDescent="0.3">
      <c r="B244" s="95">
        <v>46327</v>
      </c>
      <c r="C244" s="93">
        <f t="shared" ref="C244:I244" si="103">SUM(C190*C229)</f>
        <v>4344.537733323722</v>
      </c>
      <c r="D244" s="93">
        <f t="shared" si="103"/>
        <v>68370.397772030265</v>
      </c>
      <c r="E244" s="93">
        <f t="shared" si="103"/>
        <v>0</v>
      </c>
      <c r="F244" s="93">
        <f t="shared" si="103"/>
        <v>8622.5802708093015</v>
      </c>
      <c r="G244" s="93">
        <f t="shared" si="103"/>
        <v>0</v>
      </c>
      <c r="H244" s="93">
        <f t="shared" si="103"/>
        <v>3661.5330676933145</v>
      </c>
      <c r="I244" s="93">
        <f t="shared" si="103"/>
        <v>4910.0413824199386</v>
      </c>
      <c r="J244" s="91">
        <f t="shared" si="93"/>
        <v>89909.09022627653</v>
      </c>
    </row>
    <row r="245" spans="2:10" x14ac:dyDescent="0.3">
      <c r="B245" s="95">
        <v>46357</v>
      </c>
      <c r="C245" s="92">
        <f t="shared" ref="C245:I245" si="104">SUM(C207*C229)</f>
        <v>4333.6763889904132</v>
      </c>
      <c r="D245" s="92">
        <f t="shared" si="104"/>
        <v>68199.471777600178</v>
      </c>
      <c r="E245" s="92">
        <f t="shared" si="104"/>
        <v>0</v>
      </c>
      <c r="F245" s="92">
        <f t="shared" si="104"/>
        <v>8601.0238201322773</v>
      </c>
      <c r="G245" s="92">
        <f t="shared" si="104"/>
        <v>0</v>
      </c>
      <c r="H245" s="92">
        <f t="shared" si="104"/>
        <v>152.37923502408134</v>
      </c>
      <c r="I245" s="92">
        <f t="shared" si="104"/>
        <v>7355.8595868086641</v>
      </c>
      <c r="J245" s="91">
        <f t="shared" si="93"/>
        <v>88642.410808555622</v>
      </c>
    </row>
    <row r="246" spans="2:10" x14ac:dyDescent="0.3">
      <c r="B246" s="90"/>
      <c r="C246" s="89"/>
      <c r="D246" s="89"/>
      <c r="E246" s="89"/>
      <c r="F246" s="89"/>
      <c r="G246" s="89"/>
      <c r="H246" s="89"/>
      <c r="I246" s="89"/>
      <c r="J246" s="89"/>
    </row>
    <row r="247" spans="2:10" ht="20.100000000000001" customHeight="1" x14ac:dyDescent="0.3">
      <c r="B247" s="88" t="s">
        <v>736</v>
      </c>
      <c r="C247" s="87">
        <f t="shared" ref="C247:I247" si="105">SUM(C245)</f>
        <v>4333.6763889904132</v>
      </c>
      <c r="D247" s="87">
        <f t="shared" si="105"/>
        <v>68199.471777600178</v>
      </c>
      <c r="E247" s="87">
        <f t="shared" si="105"/>
        <v>0</v>
      </c>
      <c r="F247" s="87">
        <f t="shared" si="105"/>
        <v>8601.0238201322773</v>
      </c>
      <c r="G247" s="87">
        <f t="shared" si="105"/>
        <v>0</v>
      </c>
      <c r="H247" s="87">
        <f t="shared" si="105"/>
        <v>152.37923502408134</v>
      </c>
      <c r="I247" s="87">
        <f t="shared" si="105"/>
        <v>7355.8595868086641</v>
      </c>
      <c r="J247" s="86">
        <f>SUM(C247:I247)</f>
        <v>88642.410808555622</v>
      </c>
    </row>
    <row r="250" spans="2:10" x14ac:dyDescent="0.3">
      <c r="D250" t="s">
        <v>685</v>
      </c>
      <c r="H250" t="s">
        <v>681</v>
      </c>
      <c r="I250" t="s">
        <v>682</v>
      </c>
    </row>
    <row r="251" spans="2:10" x14ac:dyDescent="0.3">
      <c r="H251" s="514">
        <v>1.4999999999999999E-2</v>
      </c>
      <c r="I251" s="513">
        <v>0.05</v>
      </c>
    </row>
    <row r="252" spans="2:10" x14ac:dyDescent="0.3">
      <c r="D252" t="s">
        <v>681</v>
      </c>
      <c r="E252" s="515">
        <f>J247*H251</f>
        <v>1329.6361621283343</v>
      </c>
    </row>
    <row r="253" spans="2:10" x14ac:dyDescent="0.3">
      <c r="D253" t="s">
        <v>682</v>
      </c>
      <c r="E253" s="515">
        <f>E252*I251</f>
        <v>66.481808106416722</v>
      </c>
    </row>
    <row r="254" spans="2:10" x14ac:dyDescent="0.3">
      <c r="D254" t="s">
        <v>683</v>
      </c>
      <c r="E254" s="515">
        <f>E253+E252</f>
        <v>1396.1179702347511</v>
      </c>
    </row>
    <row r="255" spans="2:10" x14ac:dyDescent="0.3">
      <c r="D255" t="s">
        <v>684</v>
      </c>
      <c r="E255" s="515">
        <f>E254/12</f>
        <v>116.34316418622926</v>
      </c>
    </row>
  </sheetData>
  <mergeCells count="5">
    <mergeCell ref="B1:R1"/>
    <mergeCell ref="C2:E2"/>
    <mergeCell ref="B233:J233"/>
    <mergeCell ref="E4:F4"/>
    <mergeCell ref="G4:H4"/>
  </mergeCells>
  <pageMargins left="0.7" right="0.7" top="0.75" bottom="0.75" header="0.3" footer="0.3"/>
  <pageSetup paperSize="9" scale="82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2:O290"/>
  <sheetViews>
    <sheetView topLeftCell="A197" workbookViewId="0">
      <selection activeCell="M251" sqref="M251"/>
    </sheetView>
  </sheetViews>
  <sheetFormatPr defaultColWidth="9.21875" defaultRowHeight="14.4" outlineLevelRow="2" x14ac:dyDescent="0.3"/>
  <cols>
    <col min="1" max="1" width="22.77734375" customWidth="1"/>
    <col min="2" max="2" width="7" customWidth="1"/>
    <col min="3" max="9" width="10.44140625" customWidth="1"/>
    <col min="10" max="10" width="18.44140625" style="598" customWidth="1"/>
    <col min="11" max="16384" width="9.21875" style="145"/>
  </cols>
  <sheetData>
    <row r="2" spans="1:10" ht="40.049999999999997" customHeight="1" x14ac:dyDescent="0.3">
      <c r="A2" s="619" t="s">
        <v>740</v>
      </c>
      <c r="B2" s="619"/>
      <c r="C2" s="619"/>
      <c r="D2" s="619"/>
      <c r="E2" s="619"/>
      <c r="F2" s="619"/>
      <c r="G2" s="619"/>
      <c r="H2" s="619"/>
      <c r="I2" s="619"/>
      <c r="J2" s="619"/>
    </row>
    <row r="3" spans="1:10" ht="40.049999999999997" customHeight="1" thickBot="1" x14ac:dyDescent="0.35">
      <c r="A3" s="620" t="s">
        <v>741</v>
      </c>
      <c r="B3" s="620"/>
      <c r="C3" s="620"/>
      <c r="D3" s="620"/>
      <c r="E3" s="620"/>
      <c r="F3" s="620"/>
      <c r="G3" s="620"/>
      <c r="H3" s="620"/>
      <c r="I3" s="620"/>
      <c r="J3" s="620"/>
    </row>
    <row r="4" spans="1:10" ht="11.55" customHeight="1" x14ac:dyDescent="0.3">
      <c r="A4" s="158"/>
      <c r="B4" s="158"/>
      <c r="C4" s="168" t="s">
        <v>291</v>
      </c>
      <c r="D4" s="167" t="s">
        <v>290</v>
      </c>
      <c r="E4" s="618"/>
      <c r="F4" s="613"/>
      <c r="G4" s="615" t="s">
        <v>288</v>
      </c>
      <c r="H4" s="616"/>
      <c r="I4" s="139" t="s">
        <v>287</v>
      </c>
      <c r="J4" s="567" t="s">
        <v>19</v>
      </c>
    </row>
    <row r="5" spans="1:10" ht="40.049999999999997" customHeight="1" thickBot="1" x14ac:dyDescent="0.35">
      <c r="A5" s="201" t="s">
        <v>324</v>
      </c>
      <c r="B5" s="158"/>
      <c r="C5" s="166" t="s">
        <v>286</v>
      </c>
      <c r="D5" s="165" t="s">
        <v>285</v>
      </c>
      <c r="E5" s="164" t="s">
        <v>284</v>
      </c>
      <c r="F5" s="164" t="s">
        <v>283</v>
      </c>
      <c r="G5" s="163" t="s">
        <v>282</v>
      </c>
      <c r="H5" s="163" t="s">
        <v>281</v>
      </c>
      <c r="I5" s="162" t="s">
        <v>280</v>
      </c>
      <c r="J5" s="568" t="s">
        <v>328</v>
      </c>
    </row>
    <row r="6" spans="1:10" ht="11.55" customHeight="1" thickBot="1" x14ac:dyDescent="0.35">
      <c r="A6" s="228" t="s">
        <v>725</v>
      </c>
      <c r="B6" s="227"/>
      <c r="C6" s="226">
        <f>SUM('Stock Numbers'!C6)</f>
        <v>4</v>
      </c>
      <c r="D6" s="226">
        <f>SUM('Stock Numbers'!D6)</f>
        <v>100</v>
      </c>
      <c r="E6" s="226">
        <f>SUM('Stock Numbers'!E6)</f>
        <v>0</v>
      </c>
      <c r="F6" s="226">
        <f>SUM('Stock Numbers'!F6)</f>
        <v>0</v>
      </c>
      <c r="G6" s="226">
        <f>SUM('Stock Numbers'!G6)</f>
        <v>0</v>
      </c>
      <c r="H6" s="226">
        <f>SUM('Stock Numbers'!H6)</f>
        <v>0</v>
      </c>
      <c r="I6" s="226">
        <f>SUM('Stock Numbers'!I6)</f>
        <v>75</v>
      </c>
      <c r="J6" s="569">
        <f>SUM('Stock Numbers'!J6)</f>
        <v>179</v>
      </c>
    </row>
    <row r="7" spans="1:10" ht="11.55" customHeight="1" x14ac:dyDescent="0.3">
      <c r="A7" s="186">
        <v>46023</v>
      </c>
      <c r="B7" s="185"/>
      <c r="C7" s="225">
        <f>SUM('Stock Numbers'!C20)</f>
        <v>3.99</v>
      </c>
      <c r="D7" s="225">
        <f>SUM('Stock Numbers'!D20)</f>
        <v>99.75</v>
      </c>
      <c r="E7" s="225">
        <f>SUM('Stock Numbers'!E20)</f>
        <v>0</v>
      </c>
      <c r="F7" s="225">
        <f>SUM('Stock Numbers'!F20)</f>
        <v>0</v>
      </c>
      <c r="G7" s="225">
        <f>SUM('Stock Numbers'!G20)</f>
        <v>0</v>
      </c>
      <c r="H7" s="225">
        <f>SUM('Stock Numbers'!H20)</f>
        <v>0</v>
      </c>
      <c r="I7" s="225">
        <f>SUM('Stock Numbers'!I20)</f>
        <v>74.8125</v>
      </c>
      <c r="J7" s="570">
        <f>SUM('Stock Numbers'!J20)</f>
        <v>178.55250000000001</v>
      </c>
    </row>
    <row r="8" spans="1:10" ht="11.55" customHeight="1" x14ac:dyDescent="0.3">
      <c r="A8" s="186">
        <f>EOMONTH(A7,0)+1</f>
        <v>46054</v>
      </c>
      <c r="B8" s="185"/>
      <c r="C8" s="225">
        <f>SUM('Stock Numbers'!C37)</f>
        <v>3.9800250000000004</v>
      </c>
      <c r="D8" s="225">
        <f>SUM('Stock Numbers'!D37)</f>
        <v>99.500624999999999</v>
      </c>
      <c r="E8" s="225">
        <f>SUM('Stock Numbers'!E37)</f>
        <v>0</v>
      </c>
      <c r="F8" s="225">
        <f>SUM('Stock Numbers'!F37)</f>
        <v>0</v>
      </c>
      <c r="G8" s="225">
        <f>SUM('Stock Numbers'!G37)</f>
        <v>0</v>
      </c>
      <c r="H8" s="225">
        <f>SUM('Stock Numbers'!H37)</f>
        <v>0</v>
      </c>
      <c r="I8" s="225">
        <f>SUM('Stock Numbers'!I37)</f>
        <v>74.625468749999996</v>
      </c>
      <c r="J8" s="570">
        <f>SUM('Stock Numbers'!J37)</f>
        <v>178.10611875000001</v>
      </c>
    </row>
    <row r="9" spans="1:10" ht="11.55" customHeight="1" x14ac:dyDescent="0.3">
      <c r="A9" s="186">
        <f t="shared" ref="A9:A18" si="0">EOMONTH(A8,0)+1</f>
        <v>46082</v>
      </c>
      <c r="B9" s="185"/>
      <c r="C9" s="225">
        <f>SUM('Stock Numbers'!C54)</f>
        <v>3.9700749375000002</v>
      </c>
      <c r="D9" s="225">
        <f>SUM('Stock Numbers'!D54)</f>
        <v>99.251873437499995</v>
      </c>
      <c r="E9" s="225">
        <f>SUM('Stock Numbers'!E54)</f>
        <v>0</v>
      </c>
      <c r="F9" s="225">
        <f>SUM('Stock Numbers'!F54)</f>
        <v>0</v>
      </c>
      <c r="G9" s="225">
        <f>SUM('Stock Numbers'!G54)</f>
        <v>0</v>
      </c>
      <c r="H9" s="225">
        <f>SUM('Stock Numbers'!H54)</f>
        <v>0</v>
      </c>
      <c r="I9" s="225">
        <f>SUM('Stock Numbers'!I54)</f>
        <v>74.438905078124989</v>
      </c>
      <c r="J9" s="570">
        <f>SUM('Stock Numbers'!J54)</f>
        <v>177.66085345312499</v>
      </c>
    </row>
    <row r="10" spans="1:10" ht="11.55" customHeight="1" x14ac:dyDescent="0.3">
      <c r="A10" s="186">
        <f t="shared" si="0"/>
        <v>46113</v>
      </c>
      <c r="B10" s="185"/>
      <c r="C10" s="225">
        <f>SUM('Stock Numbers'!C71)</f>
        <v>3.9601497501562504</v>
      </c>
      <c r="D10" s="225">
        <f>SUM('Stock Numbers'!D71)</f>
        <v>99.003743753906249</v>
      </c>
      <c r="E10" s="225">
        <f>SUM('Stock Numbers'!E71)</f>
        <v>0</v>
      </c>
      <c r="F10" s="225">
        <f>SUM('Stock Numbers'!F71)</f>
        <v>0</v>
      </c>
      <c r="G10" s="225">
        <f>SUM('Stock Numbers'!G71)</f>
        <v>0</v>
      </c>
      <c r="H10" s="225">
        <f>SUM('Stock Numbers'!H71)</f>
        <v>0</v>
      </c>
      <c r="I10" s="225">
        <f>SUM('Stock Numbers'!I71)</f>
        <v>74.252807815429676</v>
      </c>
      <c r="J10" s="570">
        <f>SUM('Stock Numbers'!J71)</f>
        <v>177.21670131949219</v>
      </c>
    </row>
    <row r="11" spans="1:10" ht="11.55" customHeight="1" x14ac:dyDescent="0.3">
      <c r="A11" s="186">
        <f t="shared" si="0"/>
        <v>46143</v>
      </c>
      <c r="B11" s="185"/>
      <c r="C11" s="225">
        <f>SUM('Stock Numbers'!C88)</f>
        <v>3.9502493757808597</v>
      </c>
      <c r="D11" s="225">
        <f>SUM('Stock Numbers'!D88)</f>
        <v>86.756234394521485</v>
      </c>
      <c r="E11" s="225">
        <f>SUM('Stock Numbers'!E88)</f>
        <v>0</v>
      </c>
      <c r="F11" s="225">
        <f>SUM('Stock Numbers'!F88)</f>
        <v>0</v>
      </c>
      <c r="G11" s="225">
        <f>SUM('Stock Numbers'!G88)</f>
        <v>0</v>
      </c>
      <c r="H11" s="225">
        <f>SUM('Stock Numbers'!H88)</f>
        <v>0</v>
      </c>
      <c r="I11" s="225">
        <f>SUM('Stock Numbers'!I88)</f>
        <v>74.067175795891103</v>
      </c>
      <c r="J11" s="570">
        <f>SUM('Stock Numbers'!J88)</f>
        <v>164.77365956619343</v>
      </c>
    </row>
    <row r="12" spans="1:10" ht="11.55" customHeight="1" x14ac:dyDescent="0.3">
      <c r="A12" s="186">
        <f t="shared" si="0"/>
        <v>46174</v>
      </c>
      <c r="B12" s="185"/>
      <c r="C12" s="225">
        <f>SUM('Stock Numbers'!C105)</f>
        <v>3.9403737523414075</v>
      </c>
      <c r="D12" s="225">
        <f>SUM('Stock Numbers'!D105)</f>
        <v>86.539343808535179</v>
      </c>
      <c r="E12" s="225">
        <f>SUM('Stock Numbers'!E105)</f>
        <v>0</v>
      </c>
      <c r="F12" s="225">
        <f>SUM('Stock Numbers'!F105)</f>
        <v>0</v>
      </c>
      <c r="G12" s="225">
        <f>SUM('Stock Numbers'!G105)</f>
        <v>0</v>
      </c>
      <c r="H12" s="225">
        <f>SUM('Stock Numbers'!H105)</f>
        <v>0</v>
      </c>
      <c r="I12" s="225">
        <f>SUM('Stock Numbers'!I105)</f>
        <v>73.882007856401373</v>
      </c>
      <c r="J12" s="570">
        <f>SUM('Stock Numbers'!J105)</f>
        <v>164.36172541727797</v>
      </c>
    </row>
    <row r="13" spans="1:10" ht="11.55" customHeight="1" x14ac:dyDescent="0.3">
      <c r="A13" s="186">
        <f t="shared" si="0"/>
        <v>46204</v>
      </c>
      <c r="B13" s="185"/>
      <c r="C13" s="225">
        <f>SUM('Stock Numbers'!C122)</f>
        <v>3.9305228179605538</v>
      </c>
      <c r="D13" s="225">
        <f>SUM('Stock Numbers'!D122)</f>
        <v>86.322995449013845</v>
      </c>
      <c r="E13" s="225">
        <f>SUM('Stock Numbers'!E122)</f>
        <v>0</v>
      </c>
      <c r="F13" s="225">
        <f>SUM('Stock Numbers'!F122)</f>
        <v>36.848651418380186</v>
      </c>
      <c r="G13" s="225">
        <f>SUM('Stock Numbers'!G122)</f>
        <v>0</v>
      </c>
      <c r="H13" s="225">
        <f>SUM('Stock Numbers'!H122)</f>
        <v>36.848651418380186</v>
      </c>
      <c r="I13" s="225">
        <f>SUM('Stock Numbers'!I122)</f>
        <v>0</v>
      </c>
      <c r="J13" s="570">
        <f>SUM('Stock Numbers'!J122)</f>
        <v>163.95082110373477</v>
      </c>
    </row>
    <row r="14" spans="1:10" ht="11.55" customHeight="1" x14ac:dyDescent="0.3">
      <c r="A14" s="186">
        <f t="shared" si="0"/>
        <v>46235</v>
      </c>
      <c r="B14" s="185"/>
      <c r="C14" s="225">
        <f>SUM('Stock Numbers'!C139)</f>
        <v>3.9206965109156524</v>
      </c>
      <c r="D14" s="225">
        <f>SUM('Stock Numbers'!D139)</f>
        <v>86.107187960391315</v>
      </c>
      <c r="E14" s="225">
        <f>SUM('Stock Numbers'!E139)</f>
        <v>0</v>
      </c>
      <c r="F14" s="225">
        <f>SUM('Stock Numbers'!F139)</f>
        <v>36.756529789834232</v>
      </c>
      <c r="G14" s="225">
        <f>SUM('Stock Numbers'!G139)</f>
        <v>0</v>
      </c>
      <c r="H14" s="225">
        <f>SUM('Stock Numbers'!H139)</f>
        <v>14.756529789834232</v>
      </c>
      <c r="I14" s="225">
        <f>SUM('Stock Numbers'!I139)</f>
        <v>0</v>
      </c>
      <c r="J14" s="570">
        <f>SUM('Stock Numbers'!J139)</f>
        <v>141.54094405097544</v>
      </c>
    </row>
    <row r="15" spans="1:10" ht="11.55" customHeight="1" x14ac:dyDescent="0.3">
      <c r="A15" s="186">
        <f t="shared" si="0"/>
        <v>46266</v>
      </c>
      <c r="B15" s="185"/>
      <c r="C15" s="225">
        <f>SUM('Stock Numbers'!C156)</f>
        <v>2.9108947696383631</v>
      </c>
      <c r="D15" s="225">
        <f>SUM('Stock Numbers'!D156)</f>
        <v>85.891919990490337</v>
      </c>
      <c r="E15" s="225">
        <f>SUM('Stock Numbers'!E156)</f>
        <v>0</v>
      </c>
      <c r="F15" s="225">
        <f>SUM('Stock Numbers'!F156)</f>
        <v>21.664638465359644</v>
      </c>
      <c r="G15" s="225">
        <f>SUM('Stock Numbers'!G156)</f>
        <v>0</v>
      </c>
      <c r="H15" s="225">
        <f>SUM('Stock Numbers'!H156)</f>
        <v>14.719638465359647</v>
      </c>
      <c r="I15" s="225">
        <f>SUM('Stock Numbers'!I156)</f>
        <v>0</v>
      </c>
      <c r="J15" s="570">
        <f>SUM('Stock Numbers'!J156)</f>
        <v>125.18709169084799</v>
      </c>
    </row>
    <row r="16" spans="1:10" ht="11.55" customHeight="1" x14ac:dyDescent="0.3">
      <c r="A16" s="186">
        <f t="shared" si="0"/>
        <v>46296</v>
      </c>
      <c r="B16" s="185"/>
      <c r="C16" s="225">
        <f>SUM('Stock Numbers'!C173)</f>
        <v>2.903617532714267</v>
      </c>
      <c r="D16" s="225">
        <f>SUM('Stock Numbers'!D173)</f>
        <v>85.677190190514111</v>
      </c>
      <c r="E16" s="225">
        <f>SUM('Stock Numbers'!E173)</f>
        <v>0</v>
      </c>
      <c r="F16" s="225">
        <f>SUM('Stock Numbers'!F173)</f>
        <v>21.610476869196244</v>
      </c>
      <c r="G16" s="225">
        <f>SUM('Stock Numbers'!G173)</f>
        <v>0</v>
      </c>
      <c r="H16" s="225">
        <f>SUM('Stock Numbers'!H173)</f>
        <v>14.682839369196248</v>
      </c>
      <c r="I16" s="225">
        <f>SUM('Stock Numbers'!I173)</f>
        <v>24.580933078447753</v>
      </c>
      <c r="J16" s="570">
        <f>SUM('Stock Numbers'!J173)</f>
        <v>149.45505704006862</v>
      </c>
    </row>
    <row r="17" spans="1:15" ht="11.55" customHeight="1" x14ac:dyDescent="0.3">
      <c r="A17" s="186">
        <f t="shared" si="0"/>
        <v>46327</v>
      </c>
      <c r="B17" s="185"/>
      <c r="C17" s="225">
        <f>SUM('Stock Numbers'!C190)</f>
        <v>2.8963584888824814</v>
      </c>
      <c r="D17" s="225">
        <f>SUM('Stock Numbers'!D190)</f>
        <v>85.462997215037831</v>
      </c>
      <c r="E17" s="225">
        <f>SUM('Stock Numbers'!E190)</f>
        <v>0</v>
      </c>
      <c r="F17" s="225">
        <f>SUM('Stock Numbers'!F190)</f>
        <v>21.556450677023253</v>
      </c>
      <c r="G17" s="225">
        <f>SUM('Stock Numbers'!G190)</f>
        <v>0</v>
      </c>
      <c r="H17" s="225">
        <f>SUM('Stock Numbers'!H190)</f>
        <v>14.646132270773258</v>
      </c>
      <c r="I17" s="225">
        <f>SUM('Stock Numbers'!I190)</f>
        <v>49.100413824199386</v>
      </c>
      <c r="J17" s="570">
        <f>SUM('Stock Numbers'!J190)</f>
        <v>173.66235247591621</v>
      </c>
    </row>
    <row r="18" spans="1:15" ht="11.55" customHeight="1" thickBot="1" x14ac:dyDescent="0.35">
      <c r="A18" s="186">
        <f t="shared" si="0"/>
        <v>46357</v>
      </c>
      <c r="B18" s="185"/>
      <c r="C18" s="225">
        <f>SUM('Stock Numbers'!C207)</f>
        <v>2.8891175926602752</v>
      </c>
      <c r="D18" s="225">
        <f>SUM('Stock Numbers'!D207)</f>
        <v>85.249339722000229</v>
      </c>
      <c r="E18" s="225">
        <f>SUM('Stock Numbers'!E207)</f>
        <v>0</v>
      </c>
      <c r="F18" s="225">
        <f>SUM('Stock Numbers'!F207)</f>
        <v>21.502559550330695</v>
      </c>
      <c r="G18" s="225">
        <f>SUM('Stock Numbers'!G207)</f>
        <v>0</v>
      </c>
      <c r="H18" s="225">
        <f>SUM('Stock Numbers'!H207)</f>
        <v>0.6095169400963254</v>
      </c>
      <c r="I18" s="225">
        <f>SUM('Stock Numbers'!I207)</f>
        <v>73.558595868086641</v>
      </c>
      <c r="J18" s="570">
        <f>SUM('Stock Numbers'!J207)</f>
        <v>183.80912967317417</v>
      </c>
    </row>
    <row r="19" spans="1:15" ht="11.55" customHeight="1" thickBot="1" x14ac:dyDescent="0.35">
      <c r="A19" s="224" t="s">
        <v>742</v>
      </c>
      <c r="B19" s="223"/>
      <c r="C19" s="222">
        <f>SUM('Stock Numbers'!C224)</f>
        <v>3</v>
      </c>
      <c r="D19" s="222">
        <f>SUM('Stock Numbers'!D224)</f>
        <v>86</v>
      </c>
      <c r="E19" s="222">
        <f>SUM('Stock Numbers'!E224)</f>
        <v>0</v>
      </c>
      <c r="F19" s="222">
        <f>SUM('Stock Numbers'!F224)</f>
        <v>22</v>
      </c>
      <c r="G19" s="222">
        <f>SUM('Stock Numbers'!G224)</f>
        <v>0</v>
      </c>
      <c r="H19" s="222">
        <f>SUM('Stock Numbers'!H224)</f>
        <v>1</v>
      </c>
      <c r="I19" s="222">
        <f>SUM('Stock Numbers'!I224)</f>
        <v>74</v>
      </c>
      <c r="J19" s="571">
        <f>SUM('Stock Numbers'!J224)</f>
        <v>186</v>
      </c>
      <c r="K19" s="221"/>
    </row>
    <row r="20" spans="1:15" ht="11.55" customHeight="1" thickBot="1" x14ac:dyDescent="0.35">
      <c r="A20" s="466"/>
      <c r="B20" s="467"/>
      <c r="C20" s="468"/>
      <c r="D20" s="468"/>
      <c r="E20" s="468"/>
      <c r="F20" s="468"/>
      <c r="G20" s="468"/>
      <c r="H20" s="468"/>
      <c r="I20" s="468"/>
      <c r="J20" s="572"/>
      <c r="K20" s="221"/>
    </row>
    <row r="21" spans="1:15" ht="11.55" customHeight="1" thickBot="1" x14ac:dyDescent="0.35">
      <c r="A21" s="476" t="s">
        <v>678</v>
      </c>
      <c r="B21" s="477"/>
      <c r="C21" s="478" t="s">
        <v>16</v>
      </c>
      <c r="D21" s="478" t="s">
        <v>0</v>
      </c>
      <c r="E21" s="478" t="s">
        <v>1</v>
      </c>
      <c r="F21" s="478" t="s">
        <v>2</v>
      </c>
      <c r="G21" s="478" t="s">
        <v>3</v>
      </c>
      <c r="H21" s="478" t="s">
        <v>4</v>
      </c>
      <c r="I21" s="478" t="s">
        <v>5</v>
      </c>
      <c r="J21" s="573" t="s">
        <v>6</v>
      </c>
      <c r="K21" s="478" t="s">
        <v>7</v>
      </c>
      <c r="L21" s="478" t="s">
        <v>8</v>
      </c>
      <c r="M21" s="478" t="s">
        <v>9</v>
      </c>
      <c r="N21" s="482" t="s">
        <v>10</v>
      </c>
      <c r="O21" s="483" t="s">
        <v>337</v>
      </c>
    </row>
    <row r="22" spans="1:15" ht="11.55" customHeight="1" x14ac:dyDescent="0.3">
      <c r="A22" s="473" t="s">
        <v>675</v>
      </c>
      <c r="B22" s="474"/>
      <c r="C22" s="475">
        <f>$J$74*B74*1000</f>
        <v>225.11579999999998</v>
      </c>
      <c r="D22" s="475">
        <f>$J$92*B92*1000</f>
        <v>202.82207399999999</v>
      </c>
      <c r="E22" s="475">
        <f>$J$110*B110*1000</f>
        <v>223.99162797374996</v>
      </c>
      <c r="F22" s="475">
        <f>$J$128*$B$128*1000</f>
        <v>223.43164890381559</v>
      </c>
      <c r="G22" s="475">
        <f>$J$146*B146*1000</f>
        <v>196.83306978155611</v>
      </c>
      <c r="H22" s="475">
        <f>$J$164*B164*1000</f>
        <v>0</v>
      </c>
      <c r="I22" s="475">
        <f>$J$182*B182*1000</f>
        <v>0</v>
      </c>
      <c r="J22" s="574">
        <f>$J$200*B200*1000</f>
        <v>0</v>
      </c>
      <c r="K22" s="475">
        <f>J218*B218*1000</f>
        <v>0</v>
      </c>
      <c r="L22" s="475">
        <f>J236*B236*1000</f>
        <v>0</v>
      </c>
      <c r="M22" s="475">
        <f>J254*B254*1000</f>
        <v>376.84730487273816</v>
      </c>
      <c r="N22" s="475">
        <f>J272*B272*1000</f>
        <v>398.86581139078788</v>
      </c>
      <c r="O22" s="485">
        <f>SUM(C22:N22)</f>
        <v>1847.9073369226478</v>
      </c>
    </row>
    <row r="23" spans="1:15" ht="11.55" customHeight="1" x14ac:dyDescent="0.3">
      <c r="A23" s="472" t="s">
        <v>676</v>
      </c>
      <c r="B23" s="470"/>
      <c r="C23" s="471">
        <f>$J$75*B75*1000</f>
        <v>0</v>
      </c>
      <c r="D23" s="471">
        <f>$J$93*B93*1000</f>
        <v>0</v>
      </c>
      <c r="E23" s="471">
        <f>$J$111*B111*1000</f>
        <v>0</v>
      </c>
      <c r="F23" s="471">
        <f>$J$129</f>
        <v>0</v>
      </c>
      <c r="G23" s="471">
        <f>$J$147*B147*1000</f>
        <v>0</v>
      </c>
      <c r="H23" s="471">
        <f>$J$165*B165*1000</f>
        <v>768.84360473847221</v>
      </c>
      <c r="I23" s="471">
        <f>$J$183*B183*1000</f>
        <v>731.5536278582199</v>
      </c>
      <c r="J23" s="574">
        <f>$J$201*B201*1000</f>
        <v>649.5897437885742</v>
      </c>
      <c r="K23" s="475">
        <f>J219*B219*1000</f>
        <v>587.50026942910279</v>
      </c>
      <c r="L23" s="475">
        <f>J237*B237*1000</f>
        <v>621.84593825082845</v>
      </c>
      <c r="M23" s="475">
        <f>J255*B255*1000</f>
        <v>328.05287145025</v>
      </c>
      <c r="N23" s="475">
        <f>J273*B273*1000</f>
        <v>0</v>
      </c>
      <c r="O23" s="485">
        <f t="shared" ref="O23:O24" si="1">SUM(C23:N23)</f>
        <v>3687.3860555154479</v>
      </c>
    </row>
    <row r="24" spans="1:15" ht="11.55" customHeight="1" thickBot="1" x14ac:dyDescent="0.35">
      <c r="A24" s="479" t="s">
        <v>677</v>
      </c>
      <c r="B24" s="480"/>
      <c r="C24" s="481">
        <f>($J$76*B76+$J$78*B78+$J$77*B77+$J$79*B79+$J$80*B80)*1000</f>
        <v>0</v>
      </c>
      <c r="D24" s="481">
        <f>($J$94*B94+$J$95*B95+$J$96*B96+$J$97*B97+$J$98*B98)*1000</f>
        <v>0</v>
      </c>
      <c r="E24" s="481">
        <f>($J$112*B122+J113*B113+J114*B114+J115*B115+J116*B116)*1000</f>
        <v>0</v>
      </c>
      <c r="F24" s="481">
        <f>SUM($J$130:$J$134)</f>
        <v>0</v>
      </c>
      <c r="G24" s="481">
        <f>($J$148*B148+J149*B149+J150*B150+J151*B151+$J$152*B152)*1000</f>
        <v>0</v>
      </c>
      <c r="H24" s="481">
        <f>($J$166*B166+J167*B167+J168*B168+J169*B169+J170*B170)*1000</f>
        <v>1145.1711217742211</v>
      </c>
      <c r="I24" s="481">
        <f>(J184*B184+J185*B185+J186*B186+J187*B187+J188*B188)*1000</f>
        <v>0</v>
      </c>
      <c r="J24" s="575">
        <f>($J$202*B202+J203*B203+J204*B204+J205*B205+J206*B206)*1000</f>
        <v>0</v>
      </c>
      <c r="K24" s="481">
        <f>(J220*B220+J221*B221+J222*B222+J223*B223+J224*B224)*1000</f>
        <v>985.62699164048195</v>
      </c>
      <c r="L24" s="481">
        <f>(J238*B238+J239*B239+J240*B240+J241*B241+J242*B242)*1000</f>
        <v>1310.8838988818409</v>
      </c>
      <c r="M24" s="471">
        <f>($J$256*$B$256+$J$257*$B$257+$J$258*$B$258+$J$259*$B$259+$J$260*$B$260)*1000</f>
        <v>1471.0575252764661</v>
      </c>
      <c r="N24" s="481">
        <f>(J274*B274+J275*B275+J276*B276+J277*B277+J278*B278)*1000</f>
        <v>0</v>
      </c>
      <c r="O24" s="485">
        <f t="shared" si="1"/>
        <v>4912.7395375730102</v>
      </c>
    </row>
    <row r="25" spans="1:15" ht="11.55" customHeight="1" thickBot="1" x14ac:dyDescent="0.35">
      <c r="A25" s="476"/>
      <c r="B25" s="477"/>
      <c r="C25" s="478">
        <f>SUM(C22:C24)</f>
        <v>225.11579999999998</v>
      </c>
      <c r="D25" s="478">
        <f t="shared" ref="D25:O25" si="2">SUM(D22:D24)</f>
        <v>202.82207399999999</v>
      </c>
      <c r="E25" s="478">
        <f t="shared" si="2"/>
        <v>223.99162797374996</v>
      </c>
      <c r="F25" s="478">
        <f t="shared" si="2"/>
        <v>223.43164890381559</v>
      </c>
      <c r="G25" s="478">
        <f t="shared" si="2"/>
        <v>196.83306978155611</v>
      </c>
      <c r="H25" s="478">
        <f t="shared" si="2"/>
        <v>1914.0147265126934</v>
      </c>
      <c r="I25" s="478">
        <f t="shared" si="2"/>
        <v>731.5536278582199</v>
      </c>
      <c r="J25" s="573">
        <f t="shared" si="2"/>
        <v>649.5897437885742</v>
      </c>
      <c r="K25" s="478">
        <f t="shared" si="2"/>
        <v>1573.1272610695846</v>
      </c>
      <c r="L25" s="478">
        <f t="shared" si="2"/>
        <v>1932.7298371326692</v>
      </c>
      <c r="M25" s="478">
        <f>SUM(M22:M24)</f>
        <v>2175.9577015994541</v>
      </c>
      <c r="N25" s="482">
        <f t="shared" si="2"/>
        <v>398.86581139078788</v>
      </c>
      <c r="O25" s="484">
        <f t="shared" si="2"/>
        <v>10448.032930011106</v>
      </c>
    </row>
    <row r="26" spans="1:15" ht="11.55" customHeight="1" x14ac:dyDescent="0.3">
      <c r="A26" s="189"/>
      <c r="B26" s="240"/>
      <c r="C26" s="469"/>
      <c r="D26" s="469"/>
      <c r="E26" s="469"/>
      <c r="F26" s="469"/>
      <c r="G26" s="469"/>
      <c r="H26" s="469"/>
      <c r="I26" s="469"/>
      <c r="J26" s="576"/>
      <c r="K26" s="221"/>
    </row>
    <row r="27" spans="1:15" ht="40.049999999999997" customHeight="1" thickBot="1" x14ac:dyDescent="0.35">
      <c r="A27" s="621" t="s">
        <v>743</v>
      </c>
      <c r="B27" s="621"/>
      <c r="C27" s="621"/>
      <c r="D27" s="621"/>
      <c r="E27" s="621"/>
      <c r="F27" s="621"/>
      <c r="G27" s="621"/>
      <c r="H27" s="621"/>
      <c r="I27" s="621"/>
      <c r="J27" s="621"/>
    </row>
    <row r="28" spans="1:15" s="158" customFormat="1" ht="11.55" customHeight="1" x14ac:dyDescent="0.2">
      <c r="C28" s="168" t="s">
        <v>291</v>
      </c>
      <c r="D28" s="167" t="s">
        <v>290</v>
      </c>
      <c r="E28" s="618"/>
      <c r="F28" s="613"/>
      <c r="G28" s="615" t="s">
        <v>288</v>
      </c>
      <c r="H28" s="616"/>
      <c r="I28" s="139" t="s">
        <v>287</v>
      </c>
      <c r="J28" s="577" t="s">
        <v>19</v>
      </c>
    </row>
    <row r="29" spans="1:15" s="158" customFormat="1" ht="36" customHeight="1" thickBot="1" x14ac:dyDescent="0.25">
      <c r="A29" s="201" t="s">
        <v>324</v>
      </c>
      <c r="C29" s="166" t="s">
        <v>286</v>
      </c>
      <c r="D29" s="165" t="s">
        <v>285</v>
      </c>
      <c r="E29" s="164" t="s">
        <v>284</v>
      </c>
      <c r="F29" s="164" t="s">
        <v>283</v>
      </c>
      <c r="G29" s="163" t="s">
        <v>282</v>
      </c>
      <c r="H29" s="163" t="s">
        <v>281</v>
      </c>
      <c r="I29" s="162" t="s">
        <v>280</v>
      </c>
      <c r="J29" s="578" t="s">
        <v>327</v>
      </c>
    </row>
    <row r="30" spans="1:15" s="158" customFormat="1" ht="12" x14ac:dyDescent="0.25">
      <c r="A30" s="186">
        <f>A7</f>
        <v>46023</v>
      </c>
      <c r="B30" s="191"/>
      <c r="C30" s="218">
        <f t="shared" ref="C30:I30" si="3">SUM(C7*C88)</f>
        <v>8.6583000000000006</v>
      </c>
      <c r="D30" s="218">
        <f t="shared" si="3"/>
        <v>216.45749999999998</v>
      </c>
      <c r="E30" s="217">
        <f t="shared" si="3"/>
        <v>0</v>
      </c>
      <c r="F30" s="217">
        <f t="shared" si="3"/>
        <v>0</v>
      </c>
      <c r="G30" s="217">
        <f t="shared" si="3"/>
        <v>0</v>
      </c>
      <c r="H30" s="217">
        <f t="shared" si="3"/>
        <v>0</v>
      </c>
      <c r="I30" s="217">
        <f t="shared" si="3"/>
        <v>0</v>
      </c>
      <c r="J30" s="579">
        <f t="shared" ref="J30:J41" si="4">SUM(C30:I30)</f>
        <v>225.11579999999998</v>
      </c>
    </row>
    <row r="31" spans="1:15" s="158" customFormat="1" ht="12" x14ac:dyDescent="0.25">
      <c r="A31" s="186">
        <f t="shared" ref="A31:A41" si="5">A8</f>
        <v>46054</v>
      </c>
      <c r="B31" s="185"/>
      <c r="C31" s="216">
        <f t="shared" ref="C31:I31" si="6">SUM(C8*C106)</f>
        <v>8.6366542500000012</v>
      </c>
      <c r="D31" s="215">
        <f t="shared" si="6"/>
        <v>215.91635624999998</v>
      </c>
      <c r="E31" s="214">
        <f t="shared" si="6"/>
        <v>0</v>
      </c>
      <c r="F31" s="214">
        <f t="shared" si="6"/>
        <v>0</v>
      </c>
      <c r="G31" s="214">
        <f t="shared" si="6"/>
        <v>0</v>
      </c>
      <c r="H31" s="214">
        <f t="shared" si="6"/>
        <v>0</v>
      </c>
      <c r="I31" s="214">
        <f t="shared" si="6"/>
        <v>0</v>
      </c>
      <c r="J31" s="580">
        <f t="shared" si="4"/>
        <v>224.55301049999997</v>
      </c>
    </row>
    <row r="32" spans="1:15" s="158" customFormat="1" ht="12" x14ac:dyDescent="0.25">
      <c r="A32" s="186">
        <f t="shared" si="5"/>
        <v>46082</v>
      </c>
      <c r="B32" s="185"/>
      <c r="C32" s="216">
        <f t="shared" ref="C32:I32" si="7">SUM(C9*C124)</f>
        <v>8.6150626143750006</v>
      </c>
      <c r="D32" s="215">
        <f t="shared" si="7"/>
        <v>215.37656535937498</v>
      </c>
      <c r="E32" s="214">
        <f t="shared" si="7"/>
        <v>0</v>
      </c>
      <c r="F32" s="214">
        <f t="shared" si="7"/>
        <v>0</v>
      </c>
      <c r="G32" s="214">
        <f t="shared" si="7"/>
        <v>0</v>
      </c>
      <c r="H32" s="214">
        <f t="shared" si="7"/>
        <v>0</v>
      </c>
      <c r="I32" s="214">
        <f t="shared" si="7"/>
        <v>0</v>
      </c>
      <c r="J32" s="580">
        <f t="shared" si="4"/>
        <v>223.99162797374998</v>
      </c>
    </row>
    <row r="33" spans="1:10" s="158" customFormat="1" ht="12" x14ac:dyDescent="0.25">
      <c r="A33" s="186">
        <f t="shared" si="5"/>
        <v>46113</v>
      </c>
      <c r="B33" s="185"/>
      <c r="C33" s="216">
        <f t="shared" ref="C33:I33" si="8">SUM(C10*C142)</f>
        <v>8.5935249578390636</v>
      </c>
      <c r="D33" s="215">
        <f t="shared" si="8"/>
        <v>214.83812394597655</v>
      </c>
      <c r="E33" s="214">
        <f t="shared" si="8"/>
        <v>0</v>
      </c>
      <c r="F33" s="214">
        <f t="shared" si="8"/>
        <v>0</v>
      </c>
      <c r="G33" s="214">
        <f t="shared" si="8"/>
        <v>0</v>
      </c>
      <c r="H33" s="214">
        <f t="shared" si="8"/>
        <v>0</v>
      </c>
      <c r="I33" s="214">
        <f t="shared" si="8"/>
        <v>0</v>
      </c>
      <c r="J33" s="580">
        <f t="shared" si="4"/>
        <v>223.43164890381561</v>
      </c>
    </row>
    <row r="34" spans="1:10" s="158" customFormat="1" ht="12" x14ac:dyDescent="0.25">
      <c r="A34" s="186">
        <f t="shared" si="5"/>
        <v>46143</v>
      </c>
      <c r="B34" s="185"/>
      <c r="C34" s="216">
        <f t="shared" ref="C34:I34" si="9">SUM(C11*C160)</f>
        <v>8.5720411454444658</v>
      </c>
      <c r="D34" s="215">
        <f t="shared" si="9"/>
        <v>188.2610286361116</v>
      </c>
      <c r="E34" s="214">
        <f t="shared" si="9"/>
        <v>0</v>
      </c>
      <c r="F34" s="214">
        <f t="shared" si="9"/>
        <v>0</v>
      </c>
      <c r="G34" s="214">
        <f t="shared" si="9"/>
        <v>0</v>
      </c>
      <c r="H34" s="214">
        <f t="shared" si="9"/>
        <v>0</v>
      </c>
      <c r="I34" s="214">
        <f t="shared" si="9"/>
        <v>0</v>
      </c>
      <c r="J34" s="580">
        <f t="shared" si="4"/>
        <v>196.83306978155608</v>
      </c>
    </row>
    <row r="35" spans="1:10" s="158" customFormat="1" ht="12" x14ac:dyDescent="0.25">
      <c r="A35" s="186">
        <f t="shared" si="5"/>
        <v>46174</v>
      </c>
      <c r="B35" s="189"/>
      <c r="C35" s="216">
        <f t="shared" ref="C35:I35" si="10">SUM(C12*C178)</f>
        <v>34.446747342968585</v>
      </c>
      <c r="D35" s="215">
        <f t="shared" si="10"/>
        <v>605.22155485937162</v>
      </c>
      <c r="E35" s="214">
        <f t="shared" si="10"/>
        <v>0</v>
      </c>
      <c r="F35" s="214">
        <f t="shared" si="10"/>
        <v>0</v>
      </c>
      <c r="G35" s="214">
        <f t="shared" si="10"/>
        <v>0</v>
      </c>
      <c r="H35" s="214">
        <f t="shared" si="10"/>
        <v>0</v>
      </c>
      <c r="I35" s="214">
        <f t="shared" si="10"/>
        <v>1274.3464243103535</v>
      </c>
      <c r="J35" s="580">
        <f t="shared" si="4"/>
        <v>1914.0147265126939</v>
      </c>
    </row>
    <row r="36" spans="1:10" s="158" customFormat="1" ht="12" x14ac:dyDescent="0.25">
      <c r="A36" s="186">
        <f t="shared" si="5"/>
        <v>46204</v>
      </c>
      <c r="B36" s="185"/>
      <c r="C36" s="216">
        <f t="shared" ref="C36:I36" si="11">SUM(C13*C196)</f>
        <v>22.907086983074109</v>
      </c>
      <c r="D36" s="215">
        <f t="shared" si="11"/>
        <v>440.20411529224612</v>
      </c>
      <c r="E36" s="214">
        <f t="shared" si="11"/>
        <v>0</v>
      </c>
      <c r="F36" s="214">
        <f t="shared" si="11"/>
        <v>134.22121279144983</v>
      </c>
      <c r="G36" s="214">
        <f t="shared" si="11"/>
        <v>0</v>
      </c>
      <c r="H36" s="214">
        <f t="shared" si="11"/>
        <v>134.22121279144983</v>
      </c>
      <c r="I36" s="214">
        <f t="shared" si="11"/>
        <v>0</v>
      </c>
      <c r="J36" s="580">
        <f t="shared" si="4"/>
        <v>731.5536278582199</v>
      </c>
    </row>
    <row r="37" spans="1:10" s="158" customFormat="1" ht="12" x14ac:dyDescent="0.25">
      <c r="A37" s="186">
        <f t="shared" si="5"/>
        <v>46235</v>
      </c>
      <c r="B37" s="185"/>
      <c r="C37" s="216">
        <f t="shared" ref="C37:I37" si="12">SUM(C14*C214)</f>
        <v>22.849819265616425</v>
      </c>
      <c r="D37" s="215">
        <f t="shared" si="12"/>
        <v>439.10360500401549</v>
      </c>
      <c r="E37" s="214">
        <f t="shared" si="12"/>
        <v>0</v>
      </c>
      <c r="F37" s="214">
        <f t="shared" si="12"/>
        <v>133.8856597594712</v>
      </c>
      <c r="G37" s="214">
        <f t="shared" si="12"/>
        <v>0</v>
      </c>
      <c r="H37" s="214">
        <f t="shared" si="12"/>
        <v>53.750659759471191</v>
      </c>
      <c r="I37" s="214">
        <f t="shared" si="12"/>
        <v>0</v>
      </c>
      <c r="J37" s="580">
        <f t="shared" si="4"/>
        <v>649.58974378857431</v>
      </c>
    </row>
    <row r="38" spans="1:10" s="158" customFormat="1" ht="12" x14ac:dyDescent="0.25">
      <c r="A38" s="186">
        <f t="shared" si="5"/>
        <v>46266</v>
      </c>
      <c r="B38" s="185"/>
      <c r="C38" s="216">
        <f t="shared" ref="C38:I38" si="13">SUM(C15*C232)</f>
        <v>16.964694717452382</v>
      </c>
      <c r="D38" s="215">
        <f t="shared" si="13"/>
        <v>438.00584599150545</v>
      </c>
      <c r="E38" s="214">
        <f t="shared" si="13"/>
        <v>0</v>
      </c>
      <c r="F38" s="214">
        <f t="shared" si="13"/>
        <v>78.9134456100725</v>
      </c>
      <c r="G38" s="214">
        <f t="shared" si="13"/>
        <v>0</v>
      </c>
      <c r="H38" s="214">
        <f t="shared" si="13"/>
        <v>1039.2432747505545</v>
      </c>
      <c r="I38" s="214">
        <f t="shared" si="13"/>
        <v>0</v>
      </c>
      <c r="J38" s="580">
        <f t="shared" si="4"/>
        <v>1573.1272610695848</v>
      </c>
    </row>
    <row r="39" spans="1:10" s="158" customFormat="1" ht="12" x14ac:dyDescent="0.25">
      <c r="A39" s="186">
        <f t="shared" si="5"/>
        <v>46296</v>
      </c>
      <c r="B39" s="185"/>
      <c r="C39" s="216">
        <f t="shared" ref="C39:I39" si="14">SUM(C16*C250)</f>
        <v>16.92228298065875</v>
      </c>
      <c r="D39" s="215">
        <f t="shared" si="14"/>
        <v>436.91083137652669</v>
      </c>
      <c r="E39" s="214">
        <f t="shared" si="14"/>
        <v>0</v>
      </c>
      <c r="F39" s="214">
        <f t="shared" si="14"/>
        <v>78.716161996047319</v>
      </c>
      <c r="G39" s="214">
        <f t="shared" si="14"/>
        <v>0</v>
      </c>
      <c r="H39" s="214">
        <f t="shared" si="14"/>
        <v>1364.3661412841384</v>
      </c>
      <c r="I39" s="214">
        <f t="shared" si="14"/>
        <v>35.814419495298381</v>
      </c>
      <c r="J39" s="580">
        <f t="shared" si="4"/>
        <v>1932.7298371326694</v>
      </c>
    </row>
    <row r="40" spans="1:10" s="158" customFormat="1" ht="12" x14ac:dyDescent="0.25">
      <c r="A40" s="186">
        <f t="shared" si="5"/>
        <v>46327</v>
      </c>
      <c r="B40" s="185"/>
      <c r="C40" s="216">
        <f t="shared" ref="C40:I40" si="15">SUM(C17*C268)</f>
        <v>14.725086557478534</v>
      </c>
      <c r="D40" s="215">
        <f t="shared" si="15"/>
        <v>403.36398110567484</v>
      </c>
      <c r="E40" s="214">
        <f t="shared" si="15"/>
        <v>0</v>
      </c>
      <c r="F40" s="214">
        <f t="shared" si="15"/>
        <v>86.037183764669052</v>
      </c>
      <c r="G40" s="214">
        <f t="shared" si="15"/>
        <v>0</v>
      </c>
      <c r="H40" s="214">
        <f t="shared" si="15"/>
        <v>1529.5139007021899</v>
      </c>
      <c r="I40" s="214">
        <f t="shared" si="15"/>
        <v>142.3175494694419</v>
      </c>
      <c r="J40" s="580">
        <f t="shared" si="4"/>
        <v>2175.9577015994541</v>
      </c>
    </row>
    <row r="41" spans="1:10" s="158" customFormat="1" ht="12.6" thickBot="1" x14ac:dyDescent="0.3">
      <c r="A41" s="186">
        <f t="shared" si="5"/>
        <v>46357</v>
      </c>
      <c r="B41" s="185"/>
      <c r="C41" s="213">
        <f t="shared" ref="C41:I41" si="16">SUM(C18*C286)</f>
        <v>6.269385176072797</v>
      </c>
      <c r="D41" s="212">
        <f t="shared" si="16"/>
        <v>184.99106719674049</v>
      </c>
      <c r="E41" s="211">
        <f t="shared" si="16"/>
        <v>0</v>
      </c>
      <c r="F41" s="211">
        <f t="shared" si="16"/>
        <v>46.660554224217606</v>
      </c>
      <c r="G41" s="211">
        <f t="shared" si="16"/>
        <v>0</v>
      </c>
      <c r="H41" s="211">
        <f t="shared" si="16"/>
        <v>1.3226517600090262</v>
      </c>
      <c r="I41" s="210">
        <f t="shared" si="16"/>
        <v>159.62215303374802</v>
      </c>
      <c r="J41" s="580">
        <f t="shared" si="4"/>
        <v>398.86581139078794</v>
      </c>
    </row>
    <row r="42" spans="1:10" s="158" customFormat="1" ht="18" customHeight="1" thickBot="1" x14ac:dyDescent="0.3">
      <c r="A42" s="209" t="s">
        <v>326</v>
      </c>
      <c r="B42" s="208"/>
      <c r="C42" s="207">
        <f t="shared" ref="C42:J42" si="17">SUM(C30:C41)</f>
        <v>178.16068599098014</v>
      </c>
      <c r="D42" s="207">
        <f t="shared" si="17"/>
        <v>3998.6505750175443</v>
      </c>
      <c r="E42" s="207">
        <f t="shared" si="17"/>
        <v>0</v>
      </c>
      <c r="F42" s="207">
        <f t="shared" si="17"/>
        <v>558.4342181459275</v>
      </c>
      <c r="G42" s="207">
        <f t="shared" si="17"/>
        <v>0</v>
      </c>
      <c r="H42" s="206">
        <f t="shared" si="17"/>
        <v>4122.4178410478125</v>
      </c>
      <c r="I42" s="205">
        <f t="shared" si="17"/>
        <v>1612.1005463088418</v>
      </c>
      <c r="J42" s="581">
        <f t="shared" si="17"/>
        <v>10469.763866511106</v>
      </c>
    </row>
    <row r="43" spans="1:10" s="158" customFormat="1" ht="12" x14ac:dyDescent="0.25">
      <c r="A43" s="204" t="s">
        <v>325</v>
      </c>
      <c r="B43" s="203"/>
      <c r="C43" s="202">
        <f t="shared" ref="C43:J43" si="18">SUM(C42/$J$42)</f>
        <v>1.7016686170052999E-2</v>
      </c>
      <c r="D43" s="202">
        <f t="shared" si="18"/>
        <v>0.38192366379988235</v>
      </c>
      <c r="E43" s="202">
        <f t="shared" si="18"/>
        <v>0</v>
      </c>
      <c r="F43" s="202">
        <f t="shared" si="18"/>
        <v>5.3337804487850159E-2</v>
      </c>
      <c r="G43" s="202">
        <f t="shared" si="18"/>
        <v>0</v>
      </c>
      <c r="H43" s="202">
        <f t="shared" si="18"/>
        <v>0.39374506374818052</v>
      </c>
      <c r="I43" s="202">
        <f t="shared" si="18"/>
        <v>0.15397678179403396</v>
      </c>
      <c r="J43" s="582">
        <f t="shared" si="18"/>
        <v>1</v>
      </c>
    </row>
    <row r="44" spans="1:10" s="158" customFormat="1" ht="40.049999999999997" customHeight="1" thickBot="1" x14ac:dyDescent="0.25">
      <c r="A44" s="621" t="s">
        <v>744</v>
      </c>
      <c r="B44" s="621"/>
      <c r="C44" s="621"/>
      <c r="D44" s="621"/>
      <c r="E44" s="621"/>
      <c r="F44" s="621"/>
      <c r="G44" s="621"/>
      <c r="H44" s="621"/>
      <c r="I44" s="621"/>
      <c r="J44" s="621"/>
    </row>
    <row r="45" spans="1:10" s="158" customFormat="1" ht="36.6" thickBot="1" x14ac:dyDescent="0.25">
      <c r="A45" s="201" t="s">
        <v>324</v>
      </c>
      <c r="C45" s="200" t="s">
        <v>297</v>
      </c>
      <c r="D45" s="198" t="s">
        <v>11</v>
      </c>
      <c r="E45" s="199" t="s">
        <v>12</v>
      </c>
      <c r="F45" s="199" t="s">
        <v>13</v>
      </c>
      <c r="G45" s="199" t="s">
        <v>14</v>
      </c>
      <c r="H45" s="198" t="s">
        <v>15</v>
      </c>
      <c r="I45" s="197"/>
      <c r="J45" s="583" t="s">
        <v>323</v>
      </c>
    </row>
    <row r="46" spans="1:10" s="158" customFormat="1" ht="13.8" thickBot="1" x14ac:dyDescent="0.25">
      <c r="A46" s="196"/>
      <c r="C46" s="195"/>
      <c r="D46" s="193"/>
      <c r="E46" s="194"/>
      <c r="F46" s="194"/>
      <c r="G46" s="194"/>
      <c r="H46" s="193"/>
      <c r="I46" s="192"/>
      <c r="J46" s="584"/>
    </row>
    <row r="47" spans="1:10" s="158" customFormat="1" ht="12" x14ac:dyDescent="0.25">
      <c r="A47" s="186">
        <f>A30</f>
        <v>46023</v>
      </c>
      <c r="B47" s="191"/>
      <c r="C47" s="487">
        <f>J74</f>
        <v>0.32159399999999999</v>
      </c>
      <c r="D47" s="488">
        <f>J75</f>
        <v>0</v>
      </c>
      <c r="E47" s="489">
        <f>J76</f>
        <v>0</v>
      </c>
      <c r="F47" s="489">
        <f>J77</f>
        <v>0</v>
      </c>
      <c r="G47" s="489">
        <f>J78</f>
        <v>0</v>
      </c>
      <c r="H47" s="489">
        <f>J79</f>
        <v>0</v>
      </c>
      <c r="I47" s="489">
        <f>J84</f>
        <v>0</v>
      </c>
      <c r="J47" s="585">
        <f t="shared" ref="J47:J58" si="19">SUM(C47:I47)</f>
        <v>0.32159399999999999</v>
      </c>
    </row>
    <row r="48" spans="1:10" s="158" customFormat="1" ht="14.55" customHeight="1" x14ac:dyDescent="0.25">
      <c r="A48" s="186">
        <f t="shared" ref="A48:A58" si="20">A31</f>
        <v>46054</v>
      </c>
      <c r="B48" s="185"/>
      <c r="C48" s="490">
        <f>J92</f>
        <v>0.28974581999999999</v>
      </c>
      <c r="D48" s="491">
        <f>J93</f>
        <v>0</v>
      </c>
      <c r="E48" s="492">
        <f>J94</f>
        <v>0</v>
      </c>
      <c r="F48" s="492">
        <f>J95</f>
        <v>0</v>
      </c>
      <c r="G48" s="492">
        <f>J96</f>
        <v>0</v>
      </c>
      <c r="H48" s="492">
        <f>J97</f>
        <v>0</v>
      </c>
      <c r="I48" s="492">
        <f>J98</f>
        <v>0</v>
      </c>
      <c r="J48" s="586">
        <f t="shared" si="19"/>
        <v>0.28974581999999999</v>
      </c>
    </row>
    <row r="49" spans="1:11" s="158" customFormat="1" ht="14.55" customHeight="1" x14ac:dyDescent="0.25">
      <c r="A49" s="186">
        <f t="shared" si="20"/>
        <v>46082</v>
      </c>
      <c r="B49" s="185"/>
      <c r="C49" s="493">
        <f>J110</f>
        <v>0.31998803996249997</v>
      </c>
      <c r="D49" s="491">
        <f>J111</f>
        <v>0</v>
      </c>
      <c r="E49" s="492">
        <f>J112</f>
        <v>0</v>
      </c>
      <c r="F49" s="492">
        <f>J113</f>
        <v>0</v>
      </c>
      <c r="G49" s="492">
        <f>J114</f>
        <v>0</v>
      </c>
      <c r="H49" s="492">
        <f>J115</f>
        <v>0</v>
      </c>
      <c r="I49" s="492">
        <f>J116</f>
        <v>0</v>
      </c>
      <c r="J49" s="586">
        <f t="shared" si="19"/>
        <v>0.31998803996249997</v>
      </c>
    </row>
    <row r="50" spans="1:11" s="158" customFormat="1" ht="14.55" customHeight="1" x14ac:dyDescent="0.25">
      <c r="A50" s="186">
        <f t="shared" si="20"/>
        <v>46113</v>
      </c>
      <c r="B50" s="185"/>
      <c r="C50" s="493">
        <f>J128</f>
        <v>0.31918806986259374</v>
      </c>
      <c r="D50" s="491">
        <f>J129</f>
        <v>0</v>
      </c>
      <c r="E50" s="492">
        <f>J130</f>
        <v>0</v>
      </c>
      <c r="F50" s="492">
        <f>J131</f>
        <v>0</v>
      </c>
      <c r="G50" s="492">
        <f>J132</f>
        <v>0</v>
      </c>
      <c r="H50" s="492">
        <f>J133</f>
        <v>0</v>
      </c>
      <c r="I50" s="492">
        <f>J134</f>
        <v>0</v>
      </c>
      <c r="J50" s="586">
        <f t="shared" si="19"/>
        <v>0.31918806986259374</v>
      </c>
    </row>
    <row r="51" spans="1:11" s="158" customFormat="1" ht="14.55" customHeight="1" x14ac:dyDescent="0.25">
      <c r="A51" s="186">
        <f t="shared" si="20"/>
        <v>46143</v>
      </c>
      <c r="B51" s="185"/>
      <c r="C51" s="493">
        <f>J146</f>
        <v>0.28119009968793729</v>
      </c>
      <c r="D51" s="491">
        <f>J147</f>
        <v>0</v>
      </c>
      <c r="E51" s="491">
        <f>J148</f>
        <v>0</v>
      </c>
      <c r="F51" s="491">
        <f>J149</f>
        <v>0</v>
      </c>
      <c r="G51" s="491">
        <f>J150</f>
        <v>0</v>
      </c>
      <c r="H51" s="491">
        <f>J151</f>
        <v>0</v>
      </c>
      <c r="I51" s="491">
        <f>J156</f>
        <v>0</v>
      </c>
      <c r="J51" s="586">
        <f t="shared" si="19"/>
        <v>0.28119009968793729</v>
      </c>
    </row>
    <row r="52" spans="1:11" s="158" customFormat="1" ht="14.55" customHeight="1" x14ac:dyDescent="0.25">
      <c r="A52" s="186">
        <f t="shared" si="20"/>
        <v>46174</v>
      </c>
      <c r="B52" s="189"/>
      <c r="C52" s="490">
        <f>J164</f>
        <v>0</v>
      </c>
      <c r="D52" s="491">
        <f>J165</f>
        <v>1.6358374568903666</v>
      </c>
      <c r="E52" s="492">
        <f>J166</f>
        <v>0</v>
      </c>
      <c r="F52" s="492">
        <f>J167</f>
        <v>0</v>
      </c>
      <c r="G52" s="492">
        <f>J168</f>
        <v>0</v>
      </c>
      <c r="H52" s="492">
        <f>J169</f>
        <v>5.7258556088711057</v>
      </c>
      <c r="I52" s="494">
        <f>J170</f>
        <v>0</v>
      </c>
      <c r="J52" s="586">
        <f t="shared" si="19"/>
        <v>7.3616930657614725</v>
      </c>
    </row>
    <row r="53" spans="1:11" s="158" customFormat="1" ht="14.55" customHeight="1" x14ac:dyDescent="0.25">
      <c r="A53" s="186">
        <f t="shared" si="20"/>
        <v>46204</v>
      </c>
      <c r="B53" s="185"/>
      <c r="C53" s="493">
        <f>J182</f>
        <v>0</v>
      </c>
      <c r="D53" s="491">
        <f>J183</f>
        <v>1.5564970805494041</v>
      </c>
      <c r="E53" s="492">
        <f>J184</f>
        <v>0</v>
      </c>
      <c r="F53" s="492">
        <f>J185</f>
        <v>0</v>
      </c>
      <c r="G53" s="492">
        <f>J186</f>
        <v>0</v>
      </c>
      <c r="H53" s="492">
        <f>J187</f>
        <v>0</v>
      </c>
      <c r="I53" s="492">
        <f>J188</f>
        <v>0</v>
      </c>
      <c r="J53" s="586">
        <f t="shared" si="19"/>
        <v>1.5564970805494041</v>
      </c>
    </row>
    <row r="54" spans="1:11" s="158" customFormat="1" ht="14.55" customHeight="1" x14ac:dyDescent="0.25">
      <c r="A54" s="186">
        <f t="shared" si="20"/>
        <v>46235</v>
      </c>
      <c r="B54" s="185"/>
      <c r="C54" s="493">
        <f>J200</f>
        <v>0</v>
      </c>
      <c r="D54" s="491">
        <f>J201</f>
        <v>1.3821058378480302</v>
      </c>
      <c r="E54" s="492">
        <f>J202</f>
        <v>0</v>
      </c>
      <c r="F54" s="492">
        <f>J203</f>
        <v>0</v>
      </c>
      <c r="G54" s="492">
        <f>J204</f>
        <v>0</v>
      </c>
      <c r="H54" s="492">
        <f>J205</f>
        <v>0</v>
      </c>
      <c r="I54" s="492">
        <f>J206</f>
        <v>0</v>
      </c>
      <c r="J54" s="586">
        <f t="shared" si="19"/>
        <v>1.3821058378480302</v>
      </c>
    </row>
    <row r="55" spans="1:11" s="158" customFormat="1" ht="14.55" customHeight="1" x14ac:dyDescent="0.25">
      <c r="A55" s="186">
        <f t="shared" si="20"/>
        <v>46266</v>
      </c>
      <c r="B55" s="185"/>
      <c r="C55" s="493">
        <f>J218</f>
        <v>0</v>
      </c>
      <c r="D55" s="491">
        <f>J219</f>
        <v>1.2500005732534103</v>
      </c>
      <c r="E55" s="492">
        <f>J220</f>
        <v>0</v>
      </c>
      <c r="F55" s="492">
        <f>J221</f>
        <v>2.7378527545568945</v>
      </c>
      <c r="G55" s="492">
        <f>J222</f>
        <v>0</v>
      </c>
      <c r="H55" s="492">
        <f>J223</f>
        <v>0</v>
      </c>
      <c r="I55" s="492">
        <f>J224</f>
        <v>0</v>
      </c>
      <c r="J55" s="586">
        <f t="shared" si="19"/>
        <v>3.9878533278103045</v>
      </c>
    </row>
    <row r="56" spans="1:11" s="158" customFormat="1" ht="14.55" customHeight="1" x14ac:dyDescent="0.25">
      <c r="A56" s="186">
        <f t="shared" si="20"/>
        <v>46296</v>
      </c>
      <c r="B56" s="185"/>
      <c r="C56" s="490">
        <f>J236</f>
        <v>0</v>
      </c>
      <c r="D56" s="491">
        <f>J237</f>
        <v>1.3230764643634649</v>
      </c>
      <c r="E56" s="492">
        <f>J238</f>
        <v>0</v>
      </c>
      <c r="F56" s="492">
        <f>J239</f>
        <v>3.6413441635606696</v>
      </c>
      <c r="G56" s="492">
        <f>J240</f>
        <v>0</v>
      </c>
      <c r="H56" s="492">
        <f>J241</f>
        <v>0</v>
      </c>
      <c r="I56" s="492">
        <f>J242</f>
        <v>0</v>
      </c>
      <c r="J56" s="586">
        <f t="shared" si="19"/>
        <v>4.9644206279241345</v>
      </c>
    </row>
    <row r="57" spans="1:11" s="158" customFormat="1" ht="14.55" customHeight="1" x14ac:dyDescent="0.25">
      <c r="A57" s="186">
        <f t="shared" si="20"/>
        <v>46327</v>
      </c>
      <c r="B57" s="185"/>
      <c r="C57" s="493">
        <f>J254</f>
        <v>0.53835329267534027</v>
      </c>
      <c r="D57" s="491">
        <f>J255</f>
        <v>0.69798483287287227</v>
      </c>
      <c r="E57" s="492">
        <f>J256</f>
        <v>0</v>
      </c>
      <c r="F57" s="492">
        <f>J257</f>
        <v>4.0862709035457394</v>
      </c>
      <c r="G57" s="492">
        <f>J258</f>
        <v>0</v>
      </c>
      <c r="H57" s="492">
        <f>J259</f>
        <v>0</v>
      </c>
      <c r="I57" s="492">
        <f>J260</f>
        <v>0</v>
      </c>
      <c r="J57" s="586">
        <f t="shared" si="19"/>
        <v>5.3226090290939521</v>
      </c>
    </row>
    <row r="58" spans="1:11" s="158" customFormat="1" ht="14.55" customHeight="1" thickBot="1" x14ac:dyDescent="0.3">
      <c r="A58" s="186">
        <f t="shared" si="20"/>
        <v>46357</v>
      </c>
      <c r="B58" s="185"/>
      <c r="C58" s="495">
        <f>J272</f>
        <v>0.56980830198683985</v>
      </c>
      <c r="D58" s="496">
        <f>J273</f>
        <v>0</v>
      </c>
      <c r="E58" s="497">
        <f>J274</f>
        <v>0</v>
      </c>
      <c r="F58" s="497">
        <f>J275</f>
        <v>0</v>
      </c>
      <c r="G58" s="497">
        <f>J276</f>
        <v>0</v>
      </c>
      <c r="H58" s="497">
        <f>J277</f>
        <v>0</v>
      </c>
      <c r="I58" s="497">
        <f>J278</f>
        <v>0</v>
      </c>
      <c r="J58" s="587">
        <f t="shared" si="19"/>
        <v>0.56980830198683985</v>
      </c>
    </row>
    <row r="59" spans="1:11" s="158" customFormat="1" ht="20.25" customHeight="1" thickBot="1" x14ac:dyDescent="0.3">
      <c r="A59" s="184" t="s">
        <v>680</v>
      </c>
      <c r="B59" s="183"/>
      <c r="C59" s="182">
        <f t="shared" ref="C59:J59" si="21">SUM(C47:C58)</f>
        <v>2.6398676241752108</v>
      </c>
      <c r="D59" s="182">
        <f t="shared" si="21"/>
        <v>7.8455022457775483</v>
      </c>
      <c r="E59" s="182">
        <f t="shared" si="21"/>
        <v>0</v>
      </c>
      <c r="F59" s="182">
        <f t="shared" si="21"/>
        <v>10.465467821663303</v>
      </c>
      <c r="G59" s="182">
        <f t="shared" si="21"/>
        <v>0</v>
      </c>
      <c r="H59" s="182">
        <f t="shared" si="21"/>
        <v>5.7258556088711057</v>
      </c>
      <c r="I59" s="182">
        <f t="shared" si="21"/>
        <v>0</v>
      </c>
      <c r="J59" s="588">
        <f t="shared" si="21"/>
        <v>26.676693300487166</v>
      </c>
    </row>
    <row r="60" spans="1:11" s="158" customFormat="1" ht="20.25" customHeight="1" x14ac:dyDescent="0.25">
      <c r="A60" s="176" t="s">
        <v>322</v>
      </c>
      <c r="B60" s="175"/>
      <c r="C60" s="181">
        <v>0.48</v>
      </c>
      <c r="D60" s="181">
        <v>0.55000000000000004</v>
      </c>
      <c r="E60" s="181">
        <v>0.6</v>
      </c>
      <c r="F60" s="181">
        <v>0.22</v>
      </c>
      <c r="G60" s="181">
        <v>0.76</v>
      </c>
      <c r="H60" s="181">
        <v>0.12</v>
      </c>
      <c r="I60" s="181"/>
      <c r="J60" s="589"/>
    </row>
    <row r="61" spans="1:11" s="158" customFormat="1" ht="20.25" customHeight="1" x14ac:dyDescent="0.25">
      <c r="A61" s="176" t="s">
        <v>321</v>
      </c>
      <c r="B61" s="175"/>
      <c r="C61" s="180">
        <v>0</v>
      </c>
      <c r="D61" s="180">
        <v>0</v>
      </c>
      <c r="E61" s="180">
        <v>0</v>
      </c>
      <c r="F61" s="180">
        <v>0</v>
      </c>
      <c r="G61" s="180">
        <v>0</v>
      </c>
      <c r="H61" s="179">
        <v>0</v>
      </c>
      <c r="I61" s="178"/>
      <c r="J61" s="590"/>
    </row>
    <row r="62" spans="1:11" s="158" customFormat="1" ht="20.25" customHeight="1" x14ac:dyDescent="0.25">
      <c r="A62" s="176" t="s">
        <v>320</v>
      </c>
      <c r="B62" s="175"/>
      <c r="C62" s="174">
        <f t="shared" ref="C62:I62" si="22">SUM(C59*C60)*C61</f>
        <v>0</v>
      </c>
      <c r="D62" s="174">
        <f t="shared" si="22"/>
        <v>0</v>
      </c>
      <c r="E62" s="174">
        <f t="shared" si="22"/>
        <v>0</v>
      </c>
      <c r="F62" s="174">
        <f t="shared" si="22"/>
        <v>0</v>
      </c>
      <c r="G62" s="174">
        <f t="shared" si="22"/>
        <v>0</v>
      </c>
      <c r="H62" s="174">
        <f t="shared" si="22"/>
        <v>0</v>
      </c>
      <c r="I62" s="174">
        <f t="shared" si="22"/>
        <v>0</v>
      </c>
      <c r="J62" s="590"/>
      <c r="K62" s="177">
        <f>SUM(C62:I62)*F60</f>
        <v>0</v>
      </c>
    </row>
    <row r="63" spans="1:11" s="158" customFormat="1" ht="20.25" customHeight="1" x14ac:dyDescent="0.25">
      <c r="A63" s="176" t="s">
        <v>319</v>
      </c>
      <c r="B63" s="175"/>
      <c r="C63" s="174">
        <f t="shared" ref="C63:I63" si="23">SUM(C60*C62)</f>
        <v>0</v>
      </c>
      <c r="D63" s="174">
        <f t="shared" si="23"/>
        <v>0</v>
      </c>
      <c r="E63" s="174">
        <f t="shared" si="23"/>
        <v>0</v>
      </c>
      <c r="F63" s="174">
        <f t="shared" si="23"/>
        <v>0</v>
      </c>
      <c r="G63" s="174">
        <f t="shared" si="23"/>
        <v>0</v>
      </c>
      <c r="H63" s="174">
        <f t="shared" si="23"/>
        <v>0</v>
      </c>
      <c r="I63" s="174">
        <f t="shared" si="23"/>
        <v>0</v>
      </c>
      <c r="J63" s="590"/>
    </row>
    <row r="64" spans="1:11" s="158" customFormat="1" ht="20.25" customHeight="1" x14ac:dyDescent="0.25">
      <c r="A64" s="176" t="s">
        <v>318</v>
      </c>
      <c r="B64" s="175"/>
      <c r="C64" s="174">
        <f t="shared" ref="C64:I64" si="24">SUM(C65-C63)</f>
        <v>1267.136459604101</v>
      </c>
      <c r="D64" s="174">
        <f t="shared" si="24"/>
        <v>4315.0262351776519</v>
      </c>
      <c r="E64" s="174">
        <f t="shared" si="24"/>
        <v>0</v>
      </c>
      <c r="F64" s="174">
        <f t="shared" si="24"/>
        <v>2302.4029207659269</v>
      </c>
      <c r="G64" s="174">
        <f t="shared" si="24"/>
        <v>0</v>
      </c>
      <c r="H64" s="174">
        <f t="shared" si="24"/>
        <v>687.10267306453261</v>
      </c>
      <c r="I64" s="174">
        <f t="shared" si="24"/>
        <v>0</v>
      </c>
      <c r="J64" s="590"/>
    </row>
    <row r="65" spans="1:10" s="158" customFormat="1" ht="20.25" customHeight="1" x14ac:dyDescent="0.25">
      <c r="A65" s="176" t="s">
        <v>317</v>
      </c>
      <c r="B65" s="175"/>
      <c r="C65" s="174">
        <f>SUM(C59*C60*1000)</f>
        <v>1267.136459604101</v>
      </c>
      <c r="D65" s="174">
        <f t="shared" ref="D65:I65" si="25">SUM(D59*D60*1000)</f>
        <v>4315.0262351776519</v>
      </c>
      <c r="E65" s="174">
        <f t="shared" si="25"/>
        <v>0</v>
      </c>
      <c r="F65" s="174">
        <f t="shared" si="25"/>
        <v>2302.4029207659269</v>
      </c>
      <c r="G65" s="174">
        <f t="shared" si="25"/>
        <v>0</v>
      </c>
      <c r="H65" s="174">
        <f t="shared" si="25"/>
        <v>687.10267306453261</v>
      </c>
      <c r="I65" s="174">
        <f t="shared" si="25"/>
        <v>0</v>
      </c>
      <c r="J65" s="590"/>
    </row>
    <row r="66" spans="1:10" s="158" customFormat="1" ht="14.55" customHeight="1" x14ac:dyDescent="0.25">
      <c r="A66" s="173" t="s">
        <v>316</v>
      </c>
      <c r="B66" s="172"/>
      <c r="C66" s="171">
        <f t="shared" ref="C66:J66" si="26">SUM(C59/$J$59)</f>
        <v>9.8957827885175029E-2</v>
      </c>
      <c r="D66" s="171">
        <f t="shared" si="26"/>
        <v>0.29409575457518472</v>
      </c>
      <c r="E66" s="171">
        <f t="shared" si="26"/>
        <v>0</v>
      </c>
      <c r="F66" s="171">
        <f t="shared" si="26"/>
        <v>0.39230753616199443</v>
      </c>
      <c r="G66" s="171">
        <f t="shared" si="26"/>
        <v>0</v>
      </c>
      <c r="H66" s="171">
        <f t="shared" si="26"/>
        <v>0.21463888137764589</v>
      </c>
      <c r="I66" s="171">
        <f t="shared" si="26"/>
        <v>0</v>
      </c>
      <c r="J66" s="591">
        <f t="shared" si="26"/>
        <v>1</v>
      </c>
    </row>
    <row r="67" spans="1:10" s="158" customFormat="1" ht="14.55" customHeight="1" x14ac:dyDescent="0.2">
      <c r="J67" s="592">
        <f>SUM(C59:I59)</f>
        <v>26.676693300487166</v>
      </c>
    </row>
    <row r="68" spans="1:10" s="158" customFormat="1" ht="21" x14ac:dyDescent="0.2">
      <c r="A68" s="620" t="s">
        <v>315</v>
      </c>
      <c r="B68" s="620"/>
      <c r="C68" s="620"/>
      <c r="D68" s="620"/>
      <c r="E68" s="620"/>
      <c r="F68" s="620"/>
      <c r="G68" s="620"/>
      <c r="H68" s="620"/>
      <c r="I68" s="620"/>
      <c r="J68" s="620"/>
    </row>
    <row r="69" spans="1:10" s="158" customFormat="1" ht="12" x14ac:dyDescent="0.25">
      <c r="A69" s="169"/>
      <c r="B69" s="169"/>
      <c r="J69" s="593"/>
    </row>
    <row r="70" spans="1:10" s="158" customFormat="1" ht="12" x14ac:dyDescent="0.25">
      <c r="A70" s="157" t="s">
        <v>314</v>
      </c>
      <c r="B70" s="156">
        <v>31</v>
      </c>
      <c r="C70" s="155"/>
      <c r="D70" s="155"/>
      <c r="E70" s="155"/>
      <c r="F70" s="155"/>
      <c r="G70" s="155"/>
      <c r="H70" s="155"/>
      <c r="I70" s="155"/>
      <c r="J70" s="594"/>
    </row>
    <row r="71" spans="1:10" s="158" customFormat="1" ht="12.6" thickBot="1" x14ac:dyDescent="0.3">
      <c r="A71" s="154"/>
      <c r="B71" s="153"/>
      <c r="C71" s="617" t="s">
        <v>299</v>
      </c>
      <c r="D71" s="617"/>
      <c r="E71" s="617"/>
      <c r="F71" s="617"/>
      <c r="G71" s="617"/>
      <c r="H71" s="617"/>
      <c r="I71" s="617"/>
      <c r="J71" s="595"/>
    </row>
    <row r="72" spans="1:10" s="158" customFormat="1" ht="12" x14ac:dyDescent="0.25">
      <c r="A72" s="154"/>
      <c r="B72" s="153"/>
      <c r="C72" s="168" t="s">
        <v>291</v>
      </c>
      <c r="D72" s="167" t="s">
        <v>290</v>
      </c>
      <c r="E72" s="618"/>
      <c r="F72" s="613"/>
      <c r="G72" s="615" t="s">
        <v>288</v>
      </c>
      <c r="H72" s="616"/>
      <c r="I72" s="139" t="s">
        <v>287</v>
      </c>
      <c r="J72" s="595"/>
    </row>
    <row r="73" spans="1:10" s="158" customFormat="1" ht="26.4" x14ac:dyDescent="0.25">
      <c r="A73" s="154" t="s">
        <v>292</v>
      </c>
      <c r="B73" s="153" t="s">
        <v>300</v>
      </c>
      <c r="C73" s="166" t="s">
        <v>286</v>
      </c>
      <c r="D73" s="165" t="s">
        <v>285</v>
      </c>
      <c r="E73" s="164" t="s">
        <v>284</v>
      </c>
      <c r="F73" s="164" t="s">
        <v>283</v>
      </c>
      <c r="G73" s="163" t="s">
        <v>282</v>
      </c>
      <c r="H73" s="163" t="s">
        <v>281</v>
      </c>
      <c r="I73" s="162" t="s">
        <v>280</v>
      </c>
      <c r="J73" s="596" t="s">
        <v>313</v>
      </c>
    </row>
    <row r="74" spans="1:10" s="158" customFormat="1" ht="12" outlineLevel="1" x14ac:dyDescent="0.25">
      <c r="A74" s="151" t="str">
        <f>'Inputs '!$A$4</f>
        <v xml:space="preserve">P6 Summer Lick </v>
      </c>
      <c r="B74" s="150">
        <f>'Inputs '!B4</f>
        <v>0.7</v>
      </c>
      <c r="C74" s="149">
        <v>100</v>
      </c>
      <c r="D74" s="149">
        <v>100</v>
      </c>
      <c r="E74" s="149">
        <v>100</v>
      </c>
      <c r="F74" s="149">
        <v>100</v>
      </c>
      <c r="G74" s="149">
        <v>100</v>
      </c>
      <c r="H74" s="149">
        <v>100</v>
      </c>
      <c r="I74" s="149"/>
      <c r="J74" s="566">
        <f>((C74*$B$70*$C$7)+(D74*$B$70*$D$7)+(E74*$B$70*$E$7)+(F74*$B$70*$F$7)+(G74*$B$70*$G$7)+(H74*$B$70*$H$7)+(I74*$B$70*$I$7))/1000000</f>
        <v>0.32159399999999999</v>
      </c>
    </row>
    <row r="75" spans="1:10" s="158" customFormat="1" ht="12" outlineLevel="1" x14ac:dyDescent="0.25">
      <c r="A75" s="151" t="str">
        <f>'Inputs '!$A$5</f>
        <v>Winter Lick</v>
      </c>
      <c r="B75" s="150">
        <f>'Inputs '!B5</f>
        <v>0.47</v>
      </c>
      <c r="C75" s="149"/>
      <c r="D75" s="149"/>
      <c r="E75" s="149"/>
      <c r="F75" s="149"/>
      <c r="G75" s="149"/>
      <c r="H75" s="149"/>
      <c r="I75" s="149"/>
      <c r="J75" s="566">
        <f t="shared" ref="J75:J87" si="27">((C75*$B$70*$C$7)+(D75*$B$70*$D$7)+(E75*$B$70*$E$7)+(F75*$B$70*$F$7)+(G75*$B$70*$G$7)+(H75*$B$70*$H$7)+(I75*$B$70*$I$7))/1000000</f>
        <v>0</v>
      </c>
    </row>
    <row r="76" spans="1:10" s="158" customFormat="1" ht="12" outlineLevel="1" x14ac:dyDescent="0.25">
      <c r="A76" s="151" t="str">
        <f>'Inputs '!$A$6</f>
        <v>Production Lick</v>
      </c>
      <c r="B76" s="150">
        <f>'Inputs '!B6</f>
        <v>0.39</v>
      </c>
      <c r="C76" s="149"/>
      <c r="D76" s="149"/>
      <c r="E76" s="149"/>
      <c r="F76" s="149"/>
      <c r="G76" s="149"/>
      <c r="H76" s="149"/>
      <c r="I76" s="149"/>
      <c r="J76" s="566">
        <f t="shared" si="27"/>
        <v>0</v>
      </c>
    </row>
    <row r="77" spans="1:10" s="158" customFormat="1" ht="12" outlineLevel="1" x14ac:dyDescent="0.25">
      <c r="A77" s="151" t="str">
        <f>'Inputs '!$A$7</f>
        <v>Pen Feeding Meal</v>
      </c>
      <c r="B77" s="150">
        <f>'Inputs '!B7</f>
        <v>0.36</v>
      </c>
      <c r="C77" s="149"/>
      <c r="D77" s="149"/>
      <c r="E77" s="149"/>
      <c r="F77" s="149"/>
      <c r="G77" s="149"/>
      <c r="H77" s="149"/>
      <c r="I77" s="149"/>
      <c r="J77" s="566">
        <f t="shared" si="27"/>
        <v>0</v>
      </c>
    </row>
    <row r="78" spans="1:10" s="158" customFormat="1" ht="12" outlineLevel="1" x14ac:dyDescent="0.25">
      <c r="A78" s="151" t="str">
        <f>'Inputs '!$A$8</f>
        <v xml:space="preserve">Protein Cubes </v>
      </c>
      <c r="B78" s="150">
        <f>'Inputs '!B8</f>
        <v>0.76</v>
      </c>
      <c r="C78" s="149"/>
      <c r="D78" s="149"/>
      <c r="E78" s="149"/>
      <c r="F78" s="149"/>
      <c r="G78" s="149"/>
      <c r="H78" s="149"/>
      <c r="I78" s="149"/>
      <c r="J78" s="566">
        <f t="shared" si="27"/>
        <v>0</v>
      </c>
    </row>
    <row r="79" spans="1:10" s="158" customFormat="1" ht="12" outlineLevel="1" x14ac:dyDescent="0.25">
      <c r="A79" s="151" t="str">
        <f>'Inputs '!$A$9</f>
        <v xml:space="preserve">Hay </v>
      </c>
      <c r="B79" s="150">
        <f>'Inputs '!B9</f>
        <v>0.2</v>
      </c>
      <c r="C79" s="149"/>
      <c r="D79" s="149"/>
      <c r="E79" s="149"/>
      <c r="F79" s="149"/>
      <c r="G79" s="149"/>
      <c r="H79" s="149"/>
      <c r="I79" s="149"/>
      <c r="J79" s="566">
        <f t="shared" si="27"/>
        <v>0</v>
      </c>
    </row>
    <row r="80" spans="1:10" s="158" customFormat="1" ht="12" outlineLevel="1" x14ac:dyDescent="0.25">
      <c r="A80" s="151" t="str">
        <f>'Inputs '!$A$10</f>
        <v>Chicken Litter</v>
      </c>
      <c r="B80" s="150">
        <f>'Inputs '!B10</f>
        <v>0.05</v>
      </c>
      <c r="C80" s="149"/>
      <c r="D80" s="149"/>
      <c r="E80" s="149"/>
      <c r="F80" s="149"/>
      <c r="G80" s="149"/>
      <c r="H80" s="149"/>
      <c r="I80" s="149"/>
      <c r="J80" s="566">
        <f t="shared" si="27"/>
        <v>0</v>
      </c>
    </row>
    <row r="81" spans="1:10" s="158" customFormat="1" ht="12" outlineLevel="1" x14ac:dyDescent="0.25">
      <c r="A81" s="151" t="str">
        <f>'Inputs '!$A$11</f>
        <v xml:space="preserve">Cotton Hulls </v>
      </c>
      <c r="B81" s="150">
        <f>'Inputs '!B11</f>
        <v>0</v>
      </c>
      <c r="C81" s="149"/>
      <c r="D81" s="149"/>
      <c r="E81" s="149"/>
      <c r="F81" s="149"/>
      <c r="G81" s="149"/>
      <c r="H81" s="149"/>
      <c r="I81" s="149"/>
      <c r="J81" s="566">
        <f t="shared" si="27"/>
        <v>0</v>
      </c>
    </row>
    <row r="82" spans="1:10" s="158" customFormat="1" ht="12" outlineLevel="1" x14ac:dyDescent="0.25">
      <c r="A82" s="151" t="str">
        <f>'Inputs '!$A$12</f>
        <v>Feed Grade Urea</v>
      </c>
      <c r="B82" s="150">
        <f>'Inputs '!B12</f>
        <v>0</v>
      </c>
      <c r="C82" s="149"/>
      <c r="D82" s="149"/>
      <c r="E82" s="149"/>
      <c r="F82" s="149"/>
      <c r="G82" s="149"/>
      <c r="H82" s="149"/>
      <c r="I82" s="149"/>
      <c r="J82" s="566">
        <f t="shared" si="27"/>
        <v>0</v>
      </c>
    </row>
    <row r="83" spans="1:10" s="158" customFormat="1" ht="12" outlineLevel="1" x14ac:dyDescent="0.25">
      <c r="A83" s="151" t="str">
        <f>'Inputs '!$A$13</f>
        <v>Molasses</v>
      </c>
      <c r="B83" s="150">
        <f>'Inputs '!B13</f>
        <v>0</v>
      </c>
      <c r="C83" s="149"/>
      <c r="D83" s="149"/>
      <c r="E83" s="149"/>
      <c r="F83" s="149"/>
      <c r="G83" s="149"/>
      <c r="H83" s="149"/>
      <c r="I83" s="149"/>
      <c r="J83" s="566">
        <f t="shared" si="27"/>
        <v>0</v>
      </c>
    </row>
    <row r="84" spans="1:10" s="158" customFormat="1" ht="12" outlineLevel="1" x14ac:dyDescent="0.25">
      <c r="A84" s="151" t="str">
        <f>'Inputs '!$A$14</f>
        <v>Salt</v>
      </c>
      <c r="B84" s="150">
        <f>'Inputs '!B14</f>
        <v>0</v>
      </c>
      <c r="C84" s="149"/>
      <c r="D84" s="149"/>
      <c r="E84" s="149"/>
      <c r="F84" s="149"/>
      <c r="G84" s="149"/>
      <c r="H84" s="149"/>
      <c r="I84" s="149"/>
      <c r="J84" s="566">
        <f t="shared" si="27"/>
        <v>0</v>
      </c>
    </row>
    <row r="85" spans="1:10" s="158" customFormat="1" ht="12" outlineLevel="1" x14ac:dyDescent="0.25">
      <c r="A85" s="151" t="str">
        <f>'Inputs '!$A$15</f>
        <v>-</v>
      </c>
      <c r="B85" s="150">
        <f>'Inputs '!B15</f>
        <v>0</v>
      </c>
      <c r="C85" s="149"/>
      <c r="D85" s="149"/>
      <c r="E85" s="149"/>
      <c r="F85" s="149"/>
      <c r="G85" s="149"/>
      <c r="H85" s="149"/>
      <c r="I85" s="149"/>
      <c r="J85" s="566">
        <f t="shared" si="27"/>
        <v>0</v>
      </c>
    </row>
    <row r="86" spans="1:10" s="158" customFormat="1" ht="12" outlineLevel="1" x14ac:dyDescent="0.25">
      <c r="A86" s="151" t="str">
        <f>'Inputs '!$A$16</f>
        <v>-</v>
      </c>
      <c r="B86" s="150">
        <f>'Inputs '!B16</f>
        <v>0</v>
      </c>
      <c r="C86" s="149"/>
      <c r="D86" s="149"/>
      <c r="E86" s="149"/>
      <c r="F86" s="149"/>
      <c r="G86" s="149"/>
      <c r="H86" s="149"/>
      <c r="I86" s="149"/>
      <c r="J86" s="566">
        <f t="shared" si="27"/>
        <v>0</v>
      </c>
    </row>
    <row r="87" spans="1:10" s="158" customFormat="1" ht="12" outlineLevel="1" x14ac:dyDescent="0.25">
      <c r="A87" s="151" t="str">
        <f>'Inputs '!$A$17</f>
        <v>-</v>
      </c>
      <c r="B87" s="150">
        <f>'Inputs '!B17</f>
        <v>0</v>
      </c>
      <c r="C87" s="149"/>
      <c r="D87" s="149"/>
      <c r="E87" s="149"/>
      <c r="F87" s="149"/>
      <c r="G87" s="149"/>
      <c r="H87" s="149"/>
      <c r="I87" s="149"/>
      <c r="J87" s="566">
        <f t="shared" si="27"/>
        <v>0</v>
      </c>
    </row>
    <row r="88" spans="1:10" s="158" customFormat="1" ht="15" customHeight="1" x14ac:dyDescent="0.25">
      <c r="A88" s="148" t="s">
        <v>296</v>
      </c>
      <c r="B88" s="147"/>
      <c r="C88" s="146">
        <f t="shared" ref="C88:I88" si="28">SUM($B$74*C74*$B$70+$B$75*C75*$B$70+$B$76*C76*$B$70+$B$77*C77*$B$70+$B$78*C78*$B$70+$B$79*C79*$B$70+$B$80*C80+$B$81*C81*+$B$82*C82*$B$70+$B$83*C83*$B$70+$B$84*C84*$B$70+$B$85*C85*+$B$86*C86*+$B$70+$B$87*C87*$B$70)/1000</f>
        <v>2.17</v>
      </c>
      <c r="D88" s="146">
        <f>SUM($B$74*D74*$B$70+$B$75*D75*$B$70+$B$76*D76*$B$70+$B$77*D77*$B$70+$B$78*D78*$B$70+$B$79*D79*$B$70+$B$80*D80+$B$81*D81*+$B$82*D82*$B$70+$B$83*D83*$B$70+$B$84*D84*$B$70+$B$85*D85*+$B$86*D86*+$B$70+$B$87*D87*$B$70)/1000</f>
        <v>2.17</v>
      </c>
      <c r="E88" s="146">
        <f t="shared" si="28"/>
        <v>2.17</v>
      </c>
      <c r="F88" s="146">
        <f t="shared" si="28"/>
        <v>2.17</v>
      </c>
      <c r="G88" s="146">
        <f t="shared" si="28"/>
        <v>2.17</v>
      </c>
      <c r="H88" s="146">
        <f t="shared" si="28"/>
        <v>2.17</v>
      </c>
      <c r="I88" s="146">
        <f t="shared" si="28"/>
        <v>0</v>
      </c>
      <c r="J88" s="590">
        <f>SUM(J74:J87)</f>
        <v>0.32159399999999999</v>
      </c>
    </row>
    <row r="89" spans="1:10" s="158" customFormat="1" ht="12" x14ac:dyDescent="0.25">
      <c r="A89" s="160"/>
      <c r="B89" s="160"/>
      <c r="C89" s="159"/>
      <c r="D89" s="159"/>
      <c r="E89" s="159"/>
      <c r="F89" s="159"/>
      <c r="G89" s="159"/>
      <c r="H89" s="159"/>
      <c r="I89" s="159"/>
      <c r="J89" s="593"/>
    </row>
    <row r="90" spans="1:10" x14ac:dyDescent="0.3">
      <c r="A90" s="157" t="s">
        <v>312</v>
      </c>
      <c r="B90" s="156">
        <v>28</v>
      </c>
      <c r="C90" s="155"/>
      <c r="D90" s="155"/>
      <c r="E90" s="155"/>
      <c r="F90" s="155"/>
      <c r="G90" s="155"/>
      <c r="H90" s="155"/>
      <c r="I90" s="155"/>
      <c r="J90" s="594"/>
    </row>
    <row r="91" spans="1:10" ht="24.6" hidden="1" outlineLevel="1" x14ac:dyDescent="0.3">
      <c r="A91" s="154" t="s">
        <v>292</v>
      </c>
      <c r="B91" s="153" t="s">
        <v>300</v>
      </c>
      <c r="C91" s="617" t="s">
        <v>299</v>
      </c>
      <c r="D91" s="617"/>
      <c r="E91" s="617"/>
      <c r="F91" s="617"/>
      <c r="G91" s="617"/>
      <c r="H91" s="617"/>
      <c r="I91" s="617"/>
      <c r="J91" s="595" t="s">
        <v>311</v>
      </c>
    </row>
    <row r="92" spans="1:10" hidden="1" outlineLevel="1" x14ac:dyDescent="0.3">
      <c r="A92" s="151" t="str">
        <f>'Inputs '!$A$4</f>
        <v xml:space="preserve">P6 Summer Lick </v>
      </c>
      <c r="B92" s="150">
        <f>'Inputs '!C4</f>
        <v>0.7</v>
      </c>
      <c r="C92" s="149">
        <v>100</v>
      </c>
      <c r="D92" s="149">
        <v>100</v>
      </c>
      <c r="E92" s="149">
        <v>100</v>
      </c>
      <c r="F92" s="149">
        <v>100</v>
      </c>
      <c r="G92" s="149">
        <v>100</v>
      </c>
      <c r="H92" s="149">
        <v>100</v>
      </c>
      <c r="I92" s="149"/>
      <c r="J92" s="566">
        <f>((C92*$B$90*$C$8)+(D92*$B$90*$D$8)+(E92*$B$90*$E$8)+(F92*$B$90*$F$8)+(G92*$B$90*$G$8)+(H92*$B$90*$H$8)+(I92*$B$90*$I$8))/1000000</f>
        <v>0.28974581999999999</v>
      </c>
    </row>
    <row r="93" spans="1:10" hidden="1" outlineLevel="1" x14ac:dyDescent="0.3">
      <c r="A93" s="151" t="str">
        <f>'Inputs '!$A$5</f>
        <v>Winter Lick</v>
      </c>
      <c r="B93" s="150">
        <f>'Inputs '!C5</f>
        <v>0.47</v>
      </c>
      <c r="C93" s="149"/>
      <c r="D93" s="149"/>
      <c r="E93" s="149"/>
      <c r="F93" s="149"/>
      <c r="G93" s="149"/>
      <c r="H93" s="149"/>
      <c r="I93" s="149"/>
      <c r="J93" s="566">
        <f t="shared" ref="J93:J105" si="29">((C93*$B$70*$C$8)+(D93*$B$70*$D$8)+(E93*$B$70*$E$8)+(F93*$B$70*$F$8)+(G93*$B$70*$G$8)+(H93*$B$70*$H$8)+(I93*$B$70*$I$8))/1000000</f>
        <v>0</v>
      </c>
    </row>
    <row r="94" spans="1:10" hidden="1" outlineLevel="1" x14ac:dyDescent="0.3">
      <c r="A94" s="151" t="str">
        <f>'Inputs '!$A$6</f>
        <v>Production Lick</v>
      </c>
      <c r="B94" s="150">
        <f>'Inputs '!C6</f>
        <v>0.39</v>
      </c>
      <c r="C94" s="149"/>
      <c r="D94" s="149"/>
      <c r="E94" s="149"/>
      <c r="F94" s="149"/>
      <c r="G94" s="149"/>
      <c r="H94" s="149"/>
      <c r="I94" s="149"/>
      <c r="J94" s="566">
        <f t="shared" si="29"/>
        <v>0</v>
      </c>
    </row>
    <row r="95" spans="1:10" hidden="1" outlineLevel="1" x14ac:dyDescent="0.3">
      <c r="A95" s="151" t="str">
        <f>'Inputs '!$A$7</f>
        <v>Pen Feeding Meal</v>
      </c>
      <c r="B95" s="150">
        <f>'Inputs '!C7</f>
        <v>0.36</v>
      </c>
      <c r="C95" s="149"/>
      <c r="D95" s="149"/>
      <c r="E95" s="149"/>
      <c r="F95" s="149"/>
      <c r="G95" s="149"/>
      <c r="H95" s="149"/>
      <c r="I95" s="149"/>
      <c r="J95" s="566">
        <f t="shared" si="29"/>
        <v>0</v>
      </c>
    </row>
    <row r="96" spans="1:10" hidden="1" outlineLevel="1" x14ac:dyDescent="0.3">
      <c r="A96" s="151" t="str">
        <f>'Inputs '!$A$8</f>
        <v xml:space="preserve">Protein Cubes </v>
      </c>
      <c r="B96" s="150">
        <f>'Inputs '!C8</f>
        <v>0.76</v>
      </c>
      <c r="C96" s="149"/>
      <c r="D96" s="149"/>
      <c r="E96" s="149"/>
      <c r="F96" s="149"/>
      <c r="G96" s="149"/>
      <c r="H96" s="149"/>
      <c r="I96" s="149"/>
      <c r="J96" s="566">
        <f t="shared" si="29"/>
        <v>0</v>
      </c>
    </row>
    <row r="97" spans="1:10" hidden="1" outlineLevel="1" x14ac:dyDescent="0.3">
      <c r="A97" s="151" t="str">
        <f>'Inputs '!$A$9</f>
        <v xml:space="preserve">Hay </v>
      </c>
      <c r="B97" s="150">
        <f>'Inputs '!C9</f>
        <v>0.2</v>
      </c>
      <c r="C97" s="149"/>
      <c r="D97" s="149"/>
      <c r="E97" s="149"/>
      <c r="F97" s="149"/>
      <c r="G97" s="149"/>
      <c r="H97" s="149"/>
      <c r="I97" s="149"/>
      <c r="J97" s="566">
        <f t="shared" si="29"/>
        <v>0</v>
      </c>
    </row>
    <row r="98" spans="1:10" hidden="1" outlineLevel="1" x14ac:dyDescent="0.3">
      <c r="A98" s="151" t="str">
        <f>'Inputs '!$A$10</f>
        <v>Chicken Litter</v>
      </c>
      <c r="B98" s="150">
        <f>'Inputs '!C10</f>
        <v>0.05</v>
      </c>
      <c r="C98" s="149"/>
      <c r="D98" s="149"/>
      <c r="E98" s="149"/>
      <c r="F98" s="149"/>
      <c r="G98" s="149"/>
      <c r="H98" s="149"/>
      <c r="I98" s="149"/>
      <c r="J98" s="566">
        <f t="shared" si="29"/>
        <v>0</v>
      </c>
    </row>
    <row r="99" spans="1:10" hidden="1" outlineLevel="1" x14ac:dyDescent="0.3">
      <c r="A99" s="151" t="str">
        <f>'Inputs '!$A$11</f>
        <v xml:space="preserve">Cotton Hulls </v>
      </c>
      <c r="B99" s="150">
        <f>'Inputs '!C11</f>
        <v>0</v>
      </c>
      <c r="C99" s="149"/>
      <c r="D99" s="149"/>
      <c r="E99" s="149"/>
      <c r="F99" s="149"/>
      <c r="G99" s="149"/>
      <c r="H99" s="149"/>
      <c r="I99" s="149"/>
      <c r="J99" s="566">
        <f t="shared" si="29"/>
        <v>0</v>
      </c>
    </row>
    <row r="100" spans="1:10" hidden="1" outlineLevel="1" x14ac:dyDescent="0.3">
      <c r="A100" s="151" t="str">
        <f>'Inputs '!$A$12</f>
        <v>Feed Grade Urea</v>
      </c>
      <c r="B100" s="150">
        <f>'Inputs '!C12</f>
        <v>0</v>
      </c>
      <c r="C100" s="149"/>
      <c r="D100" s="149"/>
      <c r="E100" s="149"/>
      <c r="F100" s="149"/>
      <c r="G100" s="149"/>
      <c r="H100" s="149"/>
      <c r="I100" s="149"/>
      <c r="J100" s="566">
        <f t="shared" si="29"/>
        <v>0</v>
      </c>
    </row>
    <row r="101" spans="1:10" hidden="1" outlineLevel="1" x14ac:dyDescent="0.3">
      <c r="A101" s="151" t="str">
        <f>'Inputs '!$A$13</f>
        <v>Molasses</v>
      </c>
      <c r="B101" s="150">
        <f>'Inputs '!C13</f>
        <v>0</v>
      </c>
      <c r="C101" s="149"/>
      <c r="D101" s="149"/>
      <c r="E101" s="149"/>
      <c r="F101" s="149"/>
      <c r="G101" s="149"/>
      <c r="H101" s="149"/>
      <c r="I101" s="149"/>
      <c r="J101" s="566">
        <f t="shared" si="29"/>
        <v>0</v>
      </c>
    </row>
    <row r="102" spans="1:10" hidden="1" outlineLevel="1" x14ac:dyDescent="0.3">
      <c r="A102" s="151" t="str">
        <f>'Inputs '!$A$14</f>
        <v>Salt</v>
      </c>
      <c r="B102" s="150">
        <f>'Inputs '!C14</f>
        <v>0</v>
      </c>
      <c r="C102" s="149"/>
      <c r="D102" s="149"/>
      <c r="E102" s="149"/>
      <c r="F102" s="149"/>
      <c r="G102" s="149"/>
      <c r="H102" s="149"/>
      <c r="I102" s="149"/>
      <c r="J102" s="566">
        <f t="shared" si="29"/>
        <v>0</v>
      </c>
    </row>
    <row r="103" spans="1:10" hidden="1" outlineLevel="1" x14ac:dyDescent="0.3">
      <c r="A103" s="151" t="str">
        <f>'Inputs '!$A$15</f>
        <v>-</v>
      </c>
      <c r="B103" s="150">
        <f>'Inputs '!C15</f>
        <v>0</v>
      </c>
      <c r="C103" s="149"/>
      <c r="D103" s="149"/>
      <c r="E103" s="149"/>
      <c r="F103" s="149"/>
      <c r="G103" s="149"/>
      <c r="H103" s="149"/>
      <c r="I103" s="149"/>
      <c r="J103" s="566">
        <f t="shared" si="29"/>
        <v>0</v>
      </c>
    </row>
    <row r="104" spans="1:10" hidden="1" outlineLevel="1" x14ac:dyDescent="0.3">
      <c r="A104" s="151" t="str">
        <f>'Inputs '!$A$16</f>
        <v>-</v>
      </c>
      <c r="B104" s="150">
        <f>'Inputs '!C16</f>
        <v>0</v>
      </c>
      <c r="C104" s="149"/>
      <c r="D104" s="149"/>
      <c r="E104" s="149"/>
      <c r="F104" s="149"/>
      <c r="G104" s="149"/>
      <c r="H104" s="149"/>
      <c r="I104" s="149"/>
      <c r="J104" s="566">
        <f t="shared" si="29"/>
        <v>0</v>
      </c>
    </row>
    <row r="105" spans="1:10" hidden="1" outlineLevel="1" x14ac:dyDescent="0.3">
      <c r="A105" s="151" t="str">
        <f>'Inputs '!$A$17</f>
        <v>-</v>
      </c>
      <c r="B105" s="150">
        <f>'Inputs '!C17</f>
        <v>0</v>
      </c>
      <c r="C105" s="149"/>
      <c r="D105" s="149"/>
      <c r="E105" s="149"/>
      <c r="F105" s="149"/>
      <c r="G105" s="149"/>
      <c r="H105" s="149"/>
      <c r="I105" s="149"/>
      <c r="J105" s="566">
        <f t="shared" si="29"/>
        <v>0</v>
      </c>
    </row>
    <row r="106" spans="1:10" ht="15" customHeight="1" collapsed="1" x14ac:dyDescent="0.3">
      <c r="A106" s="148" t="s">
        <v>296</v>
      </c>
      <c r="B106" s="147"/>
      <c r="C106" s="146">
        <f t="shared" ref="C106:I106" si="30">SUM($B$74*C92*$B$70+$B$75*C93*$B$70+$B$76*C94*$B$70+$B$77*C95*$B$70+$B$78*C96*$B$70+$B$79*C97*$B$70+$B$80*C98+$B$81*C99*+$B$82*C100*$B$70+$B$83*C101*$B$70+$B$84*C102*$B$70+$B$85*C103*+$B$86*C104*+$B$70+$B$87*C105*$B$70)/1000</f>
        <v>2.17</v>
      </c>
      <c r="D106" s="146">
        <f t="shared" si="30"/>
        <v>2.17</v>
      </c>
      <c r="E106" s="146">
        <f t="shared" si="30"/>
        <v>2.17</v>
      </c>
      <c r="F106" s="146">
        <f t="shared" si="30"/>
        <v>2.17</v>
      </c>
      <c r="G106" s="146">
        <f t="shared" si="30"/>
        <v>2.17</v>
      </c>
      <c r="H106" s="146">
        <f t="shared" si="30"/>
        <v>2.17</v>
      </c>
      <c r="I106" s="146">
        <f t="shared" si="30"/>
        <v>0</v>
      </c>
      <c r="J106" s="590">
        <f>SUM(J92:J105)</f>
        <v>0.28974581999999999</v>
      </c>
    </row>
    <row r="107" spans="1:10" x14ac:dyDescent="0.3">
      <c r="A107" s="145"/>
      <c r="B107" s="145"/>
      <c r="C107" s="145"/>
      <c r="D107" s="145"/>
      <c r="E107" s="145"/>
      <c r="F107" s="145"/>
      <c r="G107" s="145"/>
      <c r="H107" s="145"/>
      <c r="I107" s="145"/>
      <c r="J107" s="597"/>
    </row>
    <row r="108" spans="1:10" x14ac:dyDescent="0.3">
      <c r="A108" s="157" t="s">
        <v>310</v>
      </c>
      <c r="B108" s="156">
        <v>31</v>
      </c>
      <c r="C108" s="155"/>
      <c r="D108" s="155"/>
      <c r="E108" s="155"/>
      <c r="F108" s="155"/>
      <c r="G108" s="155"/>
      <c r="H108" s="155"/>
      <c r="I108" s="155"/>
      <c r="J108" s="594"/>
    </row>
    <row r="109" spans="1:10" ht="24.6" hidden="1" outlineLevel="1" x14ac:dyDescent="0.3">
      <c r="A109" s="154" t="s">
        <v>292</v>
      </c>
      <c r="B109" s="153" t="s">
        <v>300</v>
      </c>
      <c r="C109" s="617" t="s">
        <v>299</v>
      </c>
      <c r="D109" s="617"/>
      <c r="E109" s="617"/>
      <c r="F109" s="617"/>
      <c r="G109" s="617"/>
      <c r="H109" s="617"/>
      <c r="I109" s="617"/>
      <c r="J109" s="595" t="s">
        <v>298</v>
      </c>
    </row>
    <row r="110" spans="1:10" hidden="1" outlineLevel="1" x14ac:dyDescent="0.3">
      <c r="A110" s="151" t="str">
        <f>'Inputs '!$A$4</f>
        <v xml:space="preserve">P6 Summer Lick </v>
      </c>
      <c r="B110" s="150">
        <f>'Inputs '!D4</f>
        <v>0.7</v>
      </c>
      <c r="C110" s="149">
        <v>100</v>
      </c>
      <c r="D110" s="149">
        <v>100</v>
      </c>
      <c r="E110" s="149">
        <v>100</v>
      </c>
      <c r="F110" s="149">
        <v>100</v>
      </c>
      <c r="G110" s="149">
        <v>100</v>
      </c>
      <c r="H110" s="149">
        <v>100</v>
      </c>
      <c r="I110" s="149"/>
      <c r="J110" s="566">
        <f>((C110*$B$70*$C$9)+(D110*$B$70*$D$9)+(E110*$B$70*$E$9)+(F110*$B$70*$F$9)+(G110*$B$70*$G$9)+(H110*$B$70*$H$9)+(I110*$B$70*$I$9))/1000000</f>
        <v>0.31998803996249997</v>
      </c>
    </row>
    <row r="111" spans="1:10" hidden="1" outlineLevel="1" x14ac:dyDescent="0.3">
      <c r="A111" s="151" t="str">
        <f>'Inputs '!$A$5</f>
        <v>Winter Lick</v>
      </c>
      <c r="B111" s="150">
        <f>'Inputs '!D5</f>
        <v>0.47</v>
      </c>
      <c r="C111" s="149"/>
      <c r="D111" s="149"/>
      <c r="E111" s="149"/>
      <c r="F111" s="149"/>
      <c r="G111" s="149"/>
      <c r="H111" s="149"/>
      <c r="I111" s="149"/>
      <c r="J111" s="566">
        <f t="shared" ref="J111:J123" si="31">((C111*$B$70*$C$9)+(D111*$B$70*$D$9)+(E111*$B$70*$E$9)+(F111*$B$70*$F$9)+(G111*$B$70*$G$9)+(H111*$B$70*$H$9)+(I111*$B$70*$I$9))/1000000</f>
        <v>0</v>
      </c>
    </row>
    <row r="112" spans="1:10" hidden="1" outlineLevel="1" x14ac:dyDescent="0.3">
      <c r="A112" s="151" t="str">
        <f>'Inputs '!$A$6</f>
        <v>Production Lick</v>
      </c>
      <c r="B112" s="150">
        <f>'Inputs '!D6</f>
        <v>0.39</v>
      </c>
      <c r="C112" s="149"/>
      <c r="D112" s="149"/>
      <c r="E112" s="149"/>
      <c r="F112" s="149"/>
      <c r="G112" s="149"/>
      <c r="H112" s="149"/>
      <c r="I112" s="149"/>
      <c r="J112" s="566">
        <f t="shared" si="31"/>
        <v>0</v>
      </c>
    </row>
    <row r="113" spans="1:10" hidden="1" outlineLevel="1" x14ac:dyDescent="0.3">
      <c r="A113" s="151" t="str">
        <f>'Inputs '!$A$7</f>
        <v>Pen Feeding Meal</v>
      </c>
      <c r="B113" s="150">
        <f>'Inputs '!D7</f>
        <v>0.36</v>
      </c>
      <c r="C113" s="149"/>
      <c r="D113" s="149"/>
      <c r="E113" s="149"/>
      <c r="F113" s="149"/>
      <c r="G113" s="149"/>
      <c r="H113" s="149"/>
      <c r="I113" s="149"/>
      <c r="J113" s="566">
        <f t="shared" si="31"/>
        <v>0</v>
      </c>
    </row>
    <row r="114" spans="1:10" hidden="1" outlineLevel="1" x14ac:dyDescent="0.3">
      <c r="A114" s="151" t="str">
        <f>'Inputs '!$A$8</f>
        <v xml:space="preserve">Protein Cubes </v>
      </c>
      <c r="B114" s="150">
        <f>'Inputs '!D8</f>
        <v>0.76</v>
      </c>
      <c r="C114" s="149"/>
      <c r="D114" s="149"/>
      <c r="E114" s="149"/>
      <c r="F114" s="149"/>
      <c r="G114" s="149"/>
      <c r="H114" s="149"/>
      <c r="I114" s="149"/>
      <c r="J114" s="566">
        <f t="shared" si="31"/>
        <v>0</v>
      </c>
    </row>
    <row r="115" spans="1:10" hidden="1" outlineLevel="1" x14ac:dyDescent="0.3">
      <c r="A115" s="151" t="str">
        <f>'Inputs '!$A$9</f>
        <v xml:space="preserve">Hay </v>
      </c>
      <c r="B115" s="150">
        <f>'Inputs '!D9</f>
        <v>0.2</v>
      </c>
      <c r="C115" s="149"/>
      <c r="D115" s="149"/>
      <c r="E115" s="149"/>
      <c r="F115" s="149"/>
      <c r="G115" s="149"/>
      <c r="H115" s="149"/>
      <c r="I115" s="149"/>
      <c r="J115" s="566">
        <f t="shared" si="31"/>
        <v>0</v>
      </c>
    </row>
    <row r="116" spans="1:10" hidden="1" outlineLevel="1" x14ac:dyDescent="0.3">
      <c r="A116" s="151" t="str">
        <f>'Inputs '!$A$10</f>
        <v>Chicken Litter</v>
      </c>
      <c r="B116" s="150">
        <f>'Inputs '!D10</f>
        <v>0.05</v>
      </c>
      <c r="C116" s="149"/>
      <c r="D116" s="149"/>
      <c r="E116" s="149"/>
      <c r="F116" s="149"/>
      <c r="G116" s="149"/>
      <c r="H116" s="149"/>
      <c r="I116" s="149"/>
      <c r="J116" s="566">
        <f t="shared" si="31"/>
        <v>0</v>
      </c>
    </row>
    <row r="117" spans="1:10" hidden="1" outlineLevel="1" x14ac:dyDescent="0.3">
      <c r="A117" s="151" t="str">
        <f>'Inputs '!$A$11</f>
        <v xml:space="preserve">Cotton Hulls </v>
      </c>
      <c r="B117" s="150">
        <f>'Inputs '!D11</f>
        <v>0</v>
      </c>
      <c r="C117" s="149"/>
      <c r="D117" s="149"/>
      <c r="E117" s="149"/>
      <c r="F117" s="149"/>
      <c r="G117" s="149"/>
      <c r="H117" s="149"/>
      <c r="I117" s="149"/>
      <c r="J117" s="566">
        <f t="shared" si="31"/>
        <v>0</v>
      </c>
    </row>
    <row r="118" spans="1:10" hidden="1" outlineLevel="1" x14ac:dyDescent="0.3">
      <c r="A118" s="151" t="str">
        <f>'Inputs '!$A$12</f>
        <v>Feed Grade Urea</v>
      </c>
      <c r="B118" s="150">
        <f>'Inputs '!D12</f>
        <v>0</v>
      </c>
      <c r="C118" s="149"/>
      <c r="D118" s="149"/>
      <c r="E118" s="149"/>
      <c r="F118" s="149"/>
      <c r="G118" s="149"/>
      <c r="H118" s="149"/>
      <c r="I118" s="149"/>
      <c r="J118" s="566">
        <f t="shared" si="31"/>
        <v>0</v>
      </c>
    </row>
    <row r="119" spans="1:10" hidden="1" outlineLevel="1" x14ac:dyDescent="0.3">
      <c r="A119" s="151" t="str">
        <f>'Inputs '!$A$13</f>
        <v>Molasses</v>
      </c>
      <c r="B119" s="150">
        <f>'Inputs '!D13</f>
        <v>0</v>
      </c>
      <c r="C119" s="149"/>
      <c r="D119" s="149"/>
      <c r="E119" s="149"/>
      <c r="F119" s="149"/>
      <c r="G119" s="149"/>
      <c r="H119" s="149"/>
      <c r="I119" s="149"/>
      <c r="J119" s="566">
        <f t="shared" si="31"/>
        <v>0</v>
      </c>
    </row>
    <row r="120" spans="1:10" hidden="1" outlineLevel="1" x14ac:dyDescent="0.3">
      <c r="A120" s="151" t="str">
        <f>'Inputs '!$A$14</f>
        <v>Salt</v>
      </c>
      <c r="B120" s="150">
        <f>'Inputs '!D14</f>
        <v>0</v>
      </c>
      <c r="C120" s="149"/>
      <c r="D120" s="149"/>
      <c r="E120" s="149"/>
      <c r="F120" s="149"/>
      <c r="G120" s="149"/>
      <c r="H120" s="149"/>
      <c r="I120" s="149"/>
      <c r="J120" s="566">
        <f t="shared" si="31"/>
        <v>0</v>
      </c>
    </row>
    <row r="121" spans="1:10" hidden="1" outlineLevel="1" x14ac:dyDescent="0.3">
      <c r="A121" s="151" t="str">
        <f>'Inputs '!$A$15</f>
        <v>-</v>
      </c>
      <c r="B121" s="150">
        <f>'Inputs '!D15</f>
        <v>0</v>
      </c>
      <c r="C121" s="149"/>
      <c r="D121" s="149"/>
      <c r="E121" s="149"/>
      <c r="F121" s="149"/>
      <c r="G121" s="149"/>
      <c r="H121" s="149"/>
      <c r="I121" s="149"/>
      <c r="J121" s="566">
        <f t="shared" si="31"/>
        <v>0</v>
      </c>
    </row>
    <row r="122" spans="1:10" hidden="1" outlineLevel="1" x14ac:dyDescent="0.3">
      <c r="A122" s="151" t="str">
        <f>'Inputs '!$A$16</f>
        <v>-</v>
      </c>
      <c r="B122" s="150">
        <f>'Inputs '!D16</f>
        <v>0</v>
      </c>
      <c r="C122" s="149"/>
      <c r="D122" s="149"/>
      <c r="E122" s="149"/>
      <c r="F122" s="149"/>
      <c r="G122" s="149"/>
      <c r="H122" s="149"/>
      <c r="I122" s="149"/>
      <c r="J122" s="566">
        <f t="shared" si="31"/>
        <v>0</v>
      </c>
    </row>
    <row r="123" spans="1:10" hidden="1" outlineLevel="1" x14ac:dyDescent="0.3">
      <c r="A123" s="151" t="str">
        <f>'Inputs '!$A$17</f>
        <v>-</v>
      </c>
      <c r="B123" s="150">
        <f>'Inputs '!D17</f>
        <v>0</v>
      </c>
      <c r="C123" s="149"/>
      <c r="D123" s="149"/>
      <c r="E123" s="149"/>
      <c r="F123" s="149"/>
      <c r="G123" s="149"/>
      <c r="H123" s="149"/>
      <c r="I123" s="149"/>
      <c r="J123" s="566">
        <f t="shared" si="31"/>
        <v>0</v>
      </c>
    </row>
    <row r="124" spans="1:10" ht="15" customHeight="1" collapsed="1" x14ac:dyDescent="0.3">
      <c r="A124" s="148" t="s">
        <v>296</v>
      </c>
      <c r="B124" s="147"/>
      <c r="C124" s="146">
        <f t="shared" ref="C124:I124" si="32">SUM($B$74*C110*$B$70+$B$75*C111*$B$70+$B$76*C112*$B$70+$B$77*C113*$B$70+$B$78*C114*$B$70+$B$79*C115*$B$70+$B$80*C116+$B$81*C117*+$B$82*C118*$B$70+$B$83*C119*$B$70+$B$84*C120*$B$70+$B$85*C121*+$B$86*C122*+$B$70+$B$87*C123*$B$70)/1000</f>
        <v>2.17</v>
      </c>
      <c r="D124" s="146">
        <f t="shared" si="32"/>
        <v>2.17</v>
      </c>
      <c r="E124" s="146">
        <f t="shared" si="32"/>
        <v>2.17</v>
      </c>
      <c r="F124" s="146">
        <f t="shared" si="32"/>
        <v>2.17</v>
      </c>
      <c r="G124" s="146">
        <f t="shared" si="32"/>
        <v>2.17</v>
      </c>
      <c r="H124" s="146">
        <f t="shared" si="32"/>
        <v>2.17</v>
      </c>
      <c r="I124" s="146">
        <f t="shared" si="32"/>
        <v>0</v>
      </c>
      <c r="J124" s="590">
        <f>SUM(J110:J123)</f>
        <v>0.31998803996249997</v>
      </c>
    </row>
    <row r="125" spans="1:10" x14ac:dyDescent="0.3">
      <c r="A125" s="145"/>
      <c r="B125" s="145"/>
      <c r="C125" s="145"/>
      <c r="D125" s="145"/>
      <c r="E125" s="145"/>
      <c r="F125" s="145"/>
      <c r="G125" s="145"/>
      <c r="H125" s="145"/>
      <c r="I125" s="145"/>
      <c r="J125" s="597"/>
    </row>
    <row r="126" spans="1:10" x14ac:dyDescent="0.3">
      <c r="A126" s="157" t="s">
        <v>309</v>
      </c>
      <c r="B126" s="156">
        <v>30</v>
      </c>
      <c r="C126" s="155"/>
      <c r="D126" s="155"/>
      <c r="E126" s="155"/>
      <c r="F126" s="155"/>
      <c r="G126" s="155"/>
      <c r="H126" s="155"/>
      <c r="I126" s="155"/>
      <c r="J126" s="594"/>
    </row>
    <row r="127" spans="1:10" ht="24.6" hidden="1" outlineLevel="2" x14ac:dyDescent="0.3">
      <c r="A127" s="154" t="s">
        <v>292</v>
      </c>
      <c r="B127" s="153" t="s">
        <v>300</v>
      </c>
      <c r="C127" s="617" t="s">
        <v>299</v>
      </c>
      <c r="D127" s="617"/>
      <c r="E127" s="617"/>
      <c r="F127" s="617"/>
      <c r="G127" s="617"/>
      <c r="H127" s="617"/>
      <c r="I127" s="617"/>
      <c r="J127" s="595" t="s">
        <v>298</v>
      </c>
    </row>
    <row r="128" spans="1:10" hidden="1" outlineLevel="2" x14ac:dyDescent="0.3">
      <c r="A128" s="151" t="str">
        <f>'Inputs '!$A$4</f>
        <v xml:space="preserve">P6 Summer Lick </v>
      </c>
      <c r="B128" s="150">
        <f>'Inputs '!E4</f>
        <v>0.7</v>
      </c>
      <c r="C128" s="149">
        <v>100</v>
      </c>
      <c r="D128" s="149">
        <v>100</v>
      </c>
      <c r="E128" s="149">
        <v>100</v>
      </c>
      <c r="F128" s="149">
        <v>100</v>
      </c>
      <c r="G128" s="149">
        <v>100</v>
      </c>
      <c r="H128" s="149">
        <v>100</v>
      </c>
      <c r="I128" s="149"/>
      <c r="J128" s="566">
        <f>((C128*$B$70*$C$10)+(D128*$B$70*$D$10)+(E128*$B$70*$E$10)+(F128*$B$70*$F$10)+(G128*$B$70*$G$10)+(H128*$B$70*$H$10)+(I128*$B$70*$I$10))/1000000</f>
        <v>0.31918806986259374</v>
      </c>
    </row>
    <row r="129" spans="1:10" hidden="1" outlineLevel="2" x14ac:dyDescent="0.3">
      <c r="A129" s="151" t="str">
        <f>'Inputs '!$A$5</f>
        <v>Winter Lick</v>
      </c>
      <c r="B129" s="150">
        <f>'Inputs '!E5</f>
        <v>0.47</v>
      </c>
      <c r="C129" s="149"/>
      <c r="D129" s="149"/>
      <c r="E129" s="149"/>
      <c r="F129" s="149"/>
      <c r="G129" s="149"/>
      <c r="H129" s="149"/>
      <c r="I129" s="149"/>
      <c r="J129" s="566">
        <f t="shared" ref="J129:J141" si="33">((C129*$B$70*$C$10)+(D129*$B$70*$D$10)+(E129*$B$70*$E$10)+(F129*$B$70*$F$10)+(G129*$B$70*$G$10)+(H129*$B$70*$H$10)+(I129*$B$70*$I$10))/1000000</f>
        <v>0</v>
      </c>
    </row>
    <row r="130" spans="1:10" hidden="1" outlineLevel="2" x14ac:dyDescent="0.3">
      <c r="A130" s="151" t="str">
        <f>'Inputs '!$A$6</f>
        <v>Production Lick</v>
      </c>
      <c r="B130" s="150">
        <f>'Inputs '!E6</f>
        <v>0.39</v>
      </c>
      <c r="C130" s="149"/>
      <c r="D130" s="149"/>
      <c r="E130" s="149"/>
      <c r="F130" s="149"/>
      <c r="G130" s="149"/>
      <c r="H130" s="149"/>
      <c r="I130" s="149"/>
      <c r="J130" s="566">
        <f t="shared" si="33"/>
        <v>0</v>
      </c>
    </row>
    <row r="131" spans="1:10" hidden="1" outlineLevel="2" x14ac:dyDescent="0.3">
      <c r="A131" s="151" t="str">
        <f>'Inputs '!$A$7</f>
        <v>Pen Feeding Meal</v>
      </c>
      <c r="B131" s="150">
        <f>'Inputs '!E7</f>
        <v>0.36</v>
      </c>
      <c r="C131" s="149"/>
      <c r="D131" s="149"/>
      <c r="E131" s="149"/>
      <c r="F131" s="149"/>
      <c r="G131" s="149"/>
      <c r="H131" s="149"/>
      <c r="I131" s="149"/>
      <c r="J131" s="566">
        <f t="shared" si="33"/>
        <v>0</v>
      </c>
    </row>
    <row r="132" spans="1:10" hidden="1" outlineLevel="2" x14ac:dyDescent="0.3">
      <c r="A132" s="151" t="str">
        <f>'Inputs '!$A$8</f>
        <v xml:space="preserve">Protein Cubes </v>
      </c>
      <c r="B132" s="150">
        <f>'Inputs '!E8</f>
        <v>0.76</v>
      </c>
      <c r="C132" s="149"/>
      <c r="D132" s="149"/>
      <c r="E132" s="149"/>
      <c r="F132" s="149"/>
      <c r="G132" s="149"/>
      <c r="H132" s="149"/>
      <c r="I132" s="149"/>
      <c r="J132" s="566">
        <f t="shared" si="33"/>
        <v>0</v>
      </c>
    </row>
    <row r="133" spans="1:10" hidden="1" outlineLevel="2" x14ac:dyDescent="0.3">
      <c r="A133" s="151" t="str">
        <f>'Inputs '!$A$9</f>
        <v xml:space="preserve">Hay </v>
      </c>
      <c r="B133" s="150">
        <f>'Inputs '!E9</f>
        <v>0.2</v>
      </c>
      <c r="C133" s="149"/>
      <c r="D133" s="149"/>
      <c r="E133" s="149"/>
      <c r="F133" s="149"/>
      <c r="G133" s="149"/>
      <c r="H133" s="149"/>
      <c r="I133" s="149"/>
      <c r="J133" s="566">
        <f t="shared" si="33"/>
        <v>0</v>
      </c>
    </row>
    <row r="134" spans="1:10" hidden="1" outlineLevel="2" x14ac:dyDescent="0.3">
      <c r="A134" s="151" t="str">
        <f>'Inputs '!$A$10</f>
        <v>Chicken Litter</v>
      </c>
      <c r="B134" s="150">
        <f>'Inputs '!E10</f>
        <v>0.05</v>
      </c>
      <c r="C134" s="149"/>
      <c r="D134" s="149"/>
      <c r="E134" s="149"/>
      <c r="F134" s="149"/>
      <c r="G134" s="149"/>
      <c r="H134" s="149"/>
      <c r="I134" s="149"/>
      <c r="J134" s="566">
        <f t="shared" si="33"/>
        <v>0</v>
      </c>
    </row>
    <row r="135" spans="1:10" hidden="1" outlineLevel="2" x14ac:dyDescent="0.3">
      <c r="A135" s="151" t="str">
        <f>'Inputs '!$A$11</f>
        <v xml:space="preserve">Cotton Hulls </v>
      </c>
      <c r="B135" s="150">
        <f>'Inputs '!E11</f>
        <v>0</v>
      </c>
      <c r="C135" s="149"/>
      <c r="D135" s="149"/>
      <c r="E135" s="149"/>
      <c r="F135" s="149"/>
      <c r="G135" s="149"/>
      <c r="H135" s="149"/>
      <c r="I135" s="149"/>
      <c r="J135" s="566">
        <f t="shared" si="33"/>
        <v>0</v>
      </c>
    </row>
    <row r="136" spans="1:10" hidden="1" outlineLevel="2" x14ac:dyDescent="0.3">
      <c r="A136" s="151" t="str">
        <f>'Inputs '!$A$12</f>
        <v>Feed Grade Urea</v>
      </c>
      <c r="B136" s="150">
        <f>'Inputs '!E12</f>
        <v>0</v>
      </c>
      <c r="C136" s="149"/>
      <c r="D136" s="149"/>
      <c r="E136" s="149"/>
      <c r="F136" s="149"/>
      <c r="G136" s="149"/>
      <c r="H136" s="149"/>
      <c r="I136" s="149"/>
      <c r="J136" s="566">
        <f t="shared" si="33"/>
        <v>0</v>
      </c>
    </row>
    <row r="137" spans="1:10" hidden="1" outlineLevel="2" x14ac:dyDescent="0.3">
      <c r="A137" s="151" t="str">
        <f>'Inputs '!$A$13</f>
        <v>Molasses</v>
      </c>
      <c r="B137" s="150">
        <f>'Inputs '!E13</f>
        <v>0</v>
      </c>
      <c r="C137" s="149"/>
      <c r="D137" s="149"/>
      <c r="E137" s="149"/>
      <c r="F137" s="149"/>
      <c r="G137" s="149"/>
      <c r="H137" s="149"/>
      <c r="I137" s="149"/>
      <c r="J137" s="566">
        <f t="shared" si="33"/>
        <v>0</v>
      </c>
    </row>
    <row r="138" spans="1:10" hidden="1" outlineLevel="2" x14ac:dyDescent="0.3">
      <c r="A138" s="151" t="str">
        <f>'Inputs '!$A$14</f>
        <v>Salt</v>
      </c>
      <c r="B138" s="150">
        <f>'Inputs '!E14</f>
        <v>0</v>
      </c>
      <c r="C138" s="149"/>
      <c r="D138" s="149"/>
      <c r="E138" s="149"/>
      <c r="F138" s="149"/>
      <c r="G138" s="149"/>
      <c r="H138" s="149"/>
      <c r="I138" s="149"/>
      <c r="J138" s="566">
        <f t="shared" si="33"/>
        <v>0</v>
      </c>
    </row>
    <row r="139" spans="1:10" hidden="1" outlineLevel="2" x14ac:dyDescent="0.3">
      <c r="A139" s="151" t="str">
        <f>'Inputs '!$A$15</f>
        <v>-</v>
      </c>
      <c r="B139" s="150">
        <f>'Inputs '!E15</f>
        <v>0</v>
      </c>
      <c r="C139" s="149"/>
      <c r="D139" s="149"/>
      <c r="E139" s="149"/>
      <c r="F139" s="149"/>
      <c r="G139" s="149"/>
      <c r="H139" s="149"/>
      <c r="I139" s="149"/>
      <c r="J139" s="566">
        <f t="shared" si="33"/>
        <v>0</v>
      </c>
    </row>
    <row r="140" spans="1:10" hidden="1" outlineLevel="2" x14ac:dyDescent="0.3">
      <c r="A140" s="151" t="str">
        <f>'Inputs '!$A$16</f>
        <v>-</v>
      </c>
      <c r="B140" s="150">
        <f>'Inputs '!E16</f>
        <v>0</v>
      </c>
      <c r="C140" s="149"/>
      <c r="D140" s="149"/>
      <c r="E140" s="149"/>
      <c r="F140" s="149"/>
      <c r="G140" s="149"/>
      <c r="H140" s="149"/>
      <c r="I140" s="149"/>
      <c r="J140" s="566">
        <f t="shared" si="33"/>
        <v>0</v>
      </c>
    </row>
    <row r="141" spans="1:10" hidden="1" outlineLevel="2" x14ac:dyDescent="0.3">
      <c r="A141" s="151" t="str">
        <f>'Inputs '!$A$17</f>
        <v>-</v>
      </c>
      <c r="B141" s="150">
        <f>'Inputs '!E17</f>
        <v>0</v>
      </c>
      <c r="C141" s="149"/>
      <c r="D141" s="149"/>
      <c r="E141" s="149"/>
      <c r="F141" s="149"/>
      <c r="G141" s="149"/>
      <c r="H141" s="149"/>
      <c r="I141" s="149"/>
      <c r="J141" s="566">
        <f t="shared" si="33"/>
        <v>0</v>
      </c>
    </row>
    <row r="142" spans="1:10" ht="15" customHeight="1" collapsed="1" x14ac:dyDescent="0.3">
      <c r="A142" s="148" t="s">
        <v>296</v>
      </c>
      <c r="B142" s="147"/>
      <c r="C142" s="146">
        <f t="shared" ref="C142:I142" si="34">SUM($B$74*C128*$B$70+$B$75*C129*$B$70+$B$76*C130*$B$70+$B$77*C131*$B$70+$B$78*C132*$B$70+$B$79*C133*$B$70+$B$80*C134+$B$81*C135*+$B$82*C136*$B$70+$B$83*C137*$B$70+$B$84*C138*$B$70+$B$85*C139*+$B$86*C140*+$B$70+$B$87*C141*$B$70)/1000</f>
        <v>2.17</v>
      </c>
      <c r="D142" s="146">
        <f t="shared" si="34"/>
        <v>2.17</v>
      </c>
      <c r="E142" s="146">
        <f t="shared" si="34"/>
        <v>2.17</v>
      </c>
      <c r="F142" s="146">
        <f t="shared" si="34"/>
        <v>2.17</v>
      </c>
      <c r="G142" s="146">
        <f t="shared" si="34"/>
        <v>2.17</v>
      </c>
      <c r="H142" s="146">
        <f t="shared" si="34"/>
        <v>2.17</v>
      </c>
      <c r="I142" s="146">
        <f t="shared" si="34"/>
        <v>0</v>
      </c>
      <c r="J142" s="590">
        <f>SUM(J128:J141)</f>
        <v>0.31918806986259374</v>
      </c>
    </row>
    <row r="143" spans="1:10" x14ac:dyDescent="0.3">
      <c r="A143" s="145"/>
      <c r="B143" s="145"/>
      <c r="C143" s="145"/>
      <c r="D143" s="145"/>
      <c r="E143" s="145"/>
      <c r="F143" s="145"/>
      <c r="G143" s="145"/>
      <c r="H143" s="145"/>
      <c r="I143" s="145"/>
      <c r="J143" s="597"/>
    </row>
    <row r="144" spans="1:10" x14ac:dyDescent="0.3">
      <c r="A144" s="157" t="s">
        <v>308</v>
      </c>
      <c r="B144" s="156">
        <v>31</v>
      </c>
      <c r="C144" s="155"/>
      <c r="D144" s="155"/>
      <c r="E144" s="155"/>
      <c r="F144" s="155"/>
      <c r="G144" s="155"/>
      <c r="H144" s="155"/>
      <c r="I144" s="155"/>
      <c r="J144" s="594"/>
    </row>
    <row r="145" spans="1:10" ht="24.6" hidden="1" outlineLevel="1" x14ac:dyDescent="0.3">
      <c r="A145" s="154" t="s">
        <v>292</v>
      </c>
      <c r="B145" s="153" t="s">
        <v>300</v>
      </c>
      <c r="C145" s="617" t="s">
        <v>299</v>
      </c>
      <c r="D145" s="617"/>
      <c r="E145" s="617"/>
      <c r="F145" s="617"/>
      <c r="G145" s="617"/>
      <c r="H145" s="617"/>
      <c r="I145" s="617"/>
      <c r="J145" s="595" t="s">
        <v>298</v>
      </c>
    </row>
    <row r="146" spans="1:10" hidden="1" outlineLevel="1" x14ac:dyDescent="0.3">
      <c r="A146" s="151" t="str">
        <f>'Inputs '!$A$4</f>
        <v xml:space="preserve">P6 Summer Lick </v>
      </c>
      <c r="B146" s="150">
        <f>'Inputs '!F4</f>
        <v>0.7</v>
      </c>
      <c r="C146" s="149">
        <v>100</v>
      </c>
      <c r="D146" s="149">
        <v>100</v>
      </c>
      <c r="E146" s="149">
        <v>100</v>
      </c>
      <c r="F146" s="149">
        <v>100</v>
      </c>
      <c r="G146" s="149">
        <v>100</v>
      </c>
      <c r="H146" s="149">
        <v>100</v>
      </c>
      <c r="I146" s="149"/>
      <c r="J146" s="566">
        <f>((C146*$B$70*$C$11)+(D146*$B$70*$D$11)+(E146*$B$70*$E$11)+(F146*$B$70*$F$11)+(G146*$B$70*$G$11)+(H146*$B$70*$H$11)+(I146*$B$70*$I$11))/1000000</f>
        <v>0.28119009968793729</v>
      </c>
    </row>
    <row r="147" spans="1:10" hidden="1" outlineLevel="1" x14ac:dyDescent="0.3">
      <c r="A147" s="151" t="str">
        <f>'Inputs '!$A$5</f>
        <v>Winter Lick</v>
      </c>
      <c r="B147" s="150">
        <f>'Inputs '!F5</f>
        <v>0.47</v>
      </c>
      <c r="C147" s="149"/>
      <c r="D147" s="149"/>
      <c r="E147" s="149"/>
      <c r="F147" s="149"/>
      <c r="G147" s="149"/>
      <c r="H147" s="149"/>
      <c r="I147" s="149"/>
      <c r="J147" s="566">
        <f t="shared" ref="J147:J159" si="35">((C147*$B$70*$C$11)+(D147*$B$70*$D$11)+(E147*$B$70*$E$11)+(F147*$B$70*$F$11)+(G147*$B$70*$G$11)+(H147*$B$70*$H$11)+(I147*$B$70*$I$11))/1000000</f>
        <v>0</v>
      </c>
    </row>
    <row r="148" spans="1:10" hidden="1" outlineLevel="1" x14ac:dyDescent="0.3">
      <c r="A148" s="151" t="str">
        <f>'Inputs '!$A$6</f>
        <v>Production Lick</v>
      </c>
      <c r="B148" s="150">
        <f>'Inputs '!F6</f>
        <v>0.39</v>
      </c>
      <c r="C148" s="149"/>
      <c r="D148" s="149"/>
      <c r="E148" s="149"/>
      <c r="F148" s="149"/>
      <c r="G148" s="149"/>
      <c r="H148" s="149"/>
      <c r="I148" s="149"/>
      <c r="J148" s="566">
        <f t="shared" si="35"/>
        <v>0</v>
      </c>
    </row>
    <row r="149" spans="1:10" hidden="1" outlineLevel="1" x14ac:dyDescent="0.3">
      <c r="A149" s="151" t="str">
        <f>'Inputs '!$A$7</f>
        <v>Pen Feeding Meal</v>
      </c>
      <c r="B149" s="150">
        <f>'Inputs '!F7</f>
        <v>0.36</v>
      </c>
      <c r="C149" s="149"/>
      <c r="D149" s="149"/>
      <c r="E149" s="149"/>
      <c r="F149" s="149"/>
      <c r="G149" s="149"/>
      <c r="H149" s="149"/>
      <c r="I149" s="149"/>
      <c r="J149" s="566">
        <f t="shared" si="35"/>
        <v>0</v>
      </c>
    </row>
    <row r="150" spans="1:10" hidden="1" outlineLevel="1" x14ac:dyDescent="0.3">
      <c r="A150" s="151" t="str">
        <f>'Inputs '!$A$8</f>
        <v xml:space="preserve">Protein Cubes </v>
      </c>
      <c r="B150" s="150">
        <f>'Inputs '!F8</f>
        <v>0.76</v>
      </c>
      <c r="C150" s="149"/>
      <c r="D150" s="149"/>
      <c r="E150" s="149"/>
      <c r="F150" s="149"/>
      <c r="G150" s="149"/>
      <c r="H150" s="149"/>
      <c r="I150" s="149"/>
      <c r="J150" s="566">
        <f t="shared" si="35"/>
        <v>0</v>
      </c>
    </row>
    <row r="151" spans="1:10" hidden="1" outlineLevel="1" x14ac:dyDescent="0.3">
      <c r="A151" s="151" t="str">
        <f>'Inputs '!$A$9</f>
        <v xml:space="preserve">Hay </v>
      </c>
      <c r="B151" s="150">
        <f>'Inputs '!F9</f>
        <v>0.2</v>
      </c>
      <c r="C151" s="149"/>
      <c r="D151" s="149"/>
      <c r="E151" s="149"/>
      <c r="F151" s="149"/>
      <c r="G151" s="149"/>
      <c r="H151" s="149"/>
      <c r="I151" s="149"/>
      <c r="J151" s="566">
        <f t="shared" si="35"/>
        <v>0</v>
      </c>
    </row>
    <row r="152" spans="1:10" hidden="1" outlineLevel="1" x14ac:dyDescent="0.3">
      <c r="A152" s="151" t="str">
        <f>'Inputs '!$A$10</f>
        <v>Chicken Litter</v>
      </c>
      <c r="B152" s="150">
        <f>'Inputs '!F10</f>
        <v>0.05</v>
      </c>
      <c r="C152" s="149"/>
      <c r="D152" s="149"/>
      <c r="E152" s="149"/>
      <c r="F152" s="149"/>
      <c r="G152" s="149"/>
      <c r="H152" s="149"/>
      <c r="I152" s="149"/>
      <c r="J152" s="566">
        <f t="shared" si="35"/>
        <v>0</v>
      </c>
    </row>
    <row r="153" spans="1:10" hidden="1" outlineLevel="1" x14ac:dyDescent="0.3">
      <c r="A153" s="151" t="str">
        <f>'Inputs '!$A$11</f>
        <v xml:space="preserve">Cotton Hulls </v>
      </c>
      <c r="B153" s="150">
        <f>'Inputs '!F11</f>
        <v>0</v>
      </c>
      <c r="C153" s="149"/>
      <c r="D153" s="149"/>
      <c r="E153" s="149"/>
      <c r="F153" s="149"/>
      <c r="G153" s="149"/>
      <c r="H153" s="149"/>
      <c r="I153" s="149"/>
      <c r="J153" s="566">
        <f t="shared" si="35"/>
        <v>0</v>
      </c>
    </row>
    <row r="154" spans="1:10" hidden="1" outlineLevel="1" x14ac:dyDescent="0.3">
      <c r="A154" s="151" t="str">
        <f>'Inputs '!$A$12</f>
        <v>Feed Grade Urea</v>
      </c>
      <c r="B154" s="150">
        <f>'Inputs '!F12</f>
        <v>0</v>
      </c>
      <c r="C154" s="149"/>
      <c r="D154" s="149"/>
      <c r="E154" s="149"/>
      <c r="F154" s="149"/>
      <c r="G154" s="149"/>
      <c r="H154" s="149"/>
      <c r="I154" s="149"/>
      <c r="J154" s="566">
        <f t="shared" si="35"/>
        <v>0</v>
      </c>
    </row>
    <row r="155" spans="1:10" hidden="1" outlineLevel="1" x14ac:dyDescent="0.3">
      <c r="A155" s="151" t="str">
        <f>'Inputs '!$A$13</f>
        <v>Molasses</v>
      </c>
      <c r="B155" s="150">
        <f>'Inputs '!F13</f>
        <v>0</v>
      </c>
      <c r="C155" s="149"/>
      <c r="D155" s="149"/>
      <c r="E155" s="149"/>
      <c r="F155" s="149"/>
      <c r="G155" s="149"/>
      <c r="H155" s="149"/>
      <c r="I155" s="149"/>
      <c r="J155" s="566">
        <f t="shared" si="35"/>
        <v>0</v>
      </c>
    </row>
    <row r="156" spans="1:10" hidden="1" outlineLevel="1" x14ac:dyDescent="0.3">
      <c r="A156" s="151" t="str">
        <f>'Inputs '!$A$14</f>
        <v>Salt</v>
      </c>
      <c r="B156" s="150">
        <f>'Inputs '!F14</f>
        <v>0</v>
      </c>
      <c r="C156" s="149"/>
      <c r="D156" s="149"/>
      <c r="E156" s="149"/>
      <c r="F156" s="149"/>
      <c r="G156" s="149"/>
      <c r="H156" s="149"/>
      <c r="I156" s="149"/>
      <c r="J156" s="566">
        <f t="shared" si="35"/>
        <v>0</v>
      </c>
    </row>
    <row r="157" spans="1:10" hidden="1" outlineLevel="1" x14ac:dyDescent="0.3">
      <c r="A157" s="151" t="str">
        <f>'Inputs '!$A$15</f>
        <v>-</v>
      </c>
      <c r="B157" s="150">
        <f>'Inputs '!F15</f>
        <v>0</v>
      </c>
      <c r="C157" s="149"/>
      <c r="D157" s="149"/>
      <c r="E157" s="149"/>
      <c r="F157" s="149"/>
      <c r="G157" s="149"/>
      <c r="H157" s="149"/>
      <c r="I157" s="149"/>
      <c r="J157" s="566">
        <f t="shared" si="35"/>
        <v>0</v>
      </c>
    </row>
    <row r="158" spans="1:10" hidden="1" outlineLevel="1" x14ac:dyDescent="0.3">
      <c r="A158" s="151" t="str">
        <f>'Inputs '!$A$16</f>
        <v>-</v>
      </c>
      <c r="B158" s="150">
        <f>'Inputs '!F16</f>
        <v>0</v>
      </c>
      <c r="C158" s="149"/>
      <c r="D158" s="149"/>
      <c r="E158" s="149"/>
      <c r="F158" s="149"/>
      <c r="G158" s="149"/>
      <c r="H158" s="149"/>
      <c r="I158" s="149"/>
      <c r="J158" s="566">
        <f t="shared" si="35"/>
        <v>0</v>
      </c>
    </row>
    <row r="159" spans="1:10" hidden="1" outlineLevel="1" x14ac:dyDescent="0.3">
      <c r="A159" s="151" t="str">
        <f>'Inputs '!$A$17</f>
        <v>-</v>
      </c>
      <c r="B159" s="150">
        <f>'Inputs '!F17</f>
        <v>0</v>
      </c>
      <c r="C159" s="149"/>
      <c r="D159" s="149"/>
      <c r="E159" s="149"/>
      <c r="F159" s="149"/>
      <c r="G159" s="149"/>
      <c r="H159" s="149"/>
      <c r="I159" s="149"/>
      <c r="J159" s="566">
        <f t="shared" si="35"/>
        <v>0</v>
      </c>
    </row>
    <row r="160" spans="1:10" ht="15" customHeight="1" collapsed="1" x14ac:dyDescent="0.3">
      <c r="A160" s="148" t="s">
        <v>296</v>
      </c>
      <c r="B160" s="147"/>
      <c r="C160" s="146">
        <f t="shared" ref="C160:I160" si="36">SUM($B$74*C146*$B$70+$B$75*C147*$B$70+$B$76*C148*$B$70+$B$77*C149*$B$70+$B$78*C150*$B$70+$B$79*C151*$B$70+$B$80*C152+$B$81*C153*+$B$82*C154*$B$70+$B$83*C155*$B$70+$B$84*C156*$B$70+$B$85*C157*+$B$86*C158*+$B$70+$B$87*C159*$B$70)/1000</f>
        <v>2.17</v>
      </c>
      <c r="D160" s="146">
        <f t="shared" si="36"/>
        <v>2.17</v>
      </c>
      <c r="E160" s="146">
        <f t="shared" si="36"/>
        <v>2.17</v>
      </c>
      <c r="F160" s="146">
        <f t="shared" si="36"/>
        <v>2.17</v>
      </c>
      <c r="G160" s="146">
        <f t="shared" si="36"/>
        <v>2.17</v>
      </c>
      <c r="H160" s="146">
        <f t="shared" si="36"/>
        <v>2.17</v>
      </c>
      <c r="I160" s="146">
        <f t="shared" si="36"/>
        <v>0</v>
      </c>
      <c r="J160" s="590">
        <f>SUM(J146:J159)</f>
        <v>0.28119009968793729</v>
      </c>
    </row>
    <row r="162" spans="1:10" x14ac:dyDescent="0.3">
      <c r="A162" s="157" t="s">
        <v>307</v>
      </c>
      <c r="B162" s="156">
        <v>30</v>
      </c>
      <c r="C162" s="155"/>
      <c r="D162" s="155"/>
      <c r="E162" s="155"/>
      <c r="F162" s="155"/>
      <c r="G162" s="155"/>
      <c r="H162" s="155"/>
      <c r="I162" s="155"/>
      <c r="J162" s="594"/>
    </row>
    <row r="163" spans="1:10" ht="24.6" hidden="1" outlineLevel="1" x14ac:dyDescent="0.3">
      <c r="A163" s="154" t="s">
        <v>292</v>
      </c>
      <c r="B163" s="153" t="s">
        <v>300</v>
      </c>
      <c r="C163" s="617" t="s">
        <v>299</v>
      </c>
      <c r="D163" s="617"/>
      <c r="E163" s="617"/>
      <c r="F163" s="617"/>
      <c r="G163" s="617"/>
      <c r="H163" s="617"/>
      <c r="I163" s="617"/>
      <c r="J163" s="595" t="s">
        <v>298</v>
      </c>
    </row>
    <row r="164" spans="1:10" hidden="1" outlineLevel="1" x14ac:dyDescent="0.3">
      <c r="A164" s="151" t="str">
        <f>'Inputs '!$A$4</f>
        <v xml:space="preserve">P6 Summer Lick </v>
      </c>
      <c r="B164" s="150">
        <f>'Inputs '!G4</f>
        <v>0.7</v>
      </c>
      <c r="C164" s="149"/>
      <c r="D164" s="149"/>
      <c r="E164" s="149"/>
      <c r="F164" s="149"/>
      <c r="G164" s="149"/>
      <c r="H164" s="149"/>
      <c r="I164" s="149"/>
      <c r="J164" s="566">
        <f>((C164*$B$70*$C$12)+(D164*$B$70*$D$12)+(E164*$B$70*$E$12)+(F164*$B$70*$F$12)+(G164*$B$70*$G$12)+(H164*$B$70*$H$12)+(I164*$B$70*$I$12))/1000000</f>
        <v>0</v>
      </c>
    </row>
    <row r="165" spans="1:10" hidden="1" outlineLevel="1" x14ac:dyDescent="0.3">
      <c r="A165" s="151" t="str">
        <f>'Inputs '!$A$5</f>
        <v>Winter Lick</v>
      </c>
      <c r="B165" s="150">
        <f>'Inputs '!G5</f>
        <v>0.47</v>
      </c>
      <c r="C165" s="149">
        <v>600</v>
      </c>
      <c r="D165" s="149">
        <f>0.8*600</f>
        <v>480</v>
      </c>
      <c r="E165" s="149">
        <f>0.7*600</f>
        <v>420</v>
      </c>
      <c r="F165" s="149">
        <f>600*0.5</f>
        <v>300</v>
      </c>
      <c r="G165" s="149">
        <v>420</v>
      </c>
      <c r="H165" s="149">
        <v>300</v>
      </c>
      <c r="I165" s="149">
        <f>600-480</f>
        <v>120</v>
      </c>
      <c r="J165" s="566">
        <f>((C165*$B$70*$C$12)+(D165*$B$70*$D$12)+(E165*$B$70*$E$12)+(F165*$B$70*$F$12)+(G165*$B$70*$G$12)+(H165*$B$70*$H$12)+(I165*$B$70*$I$12))/1000000</f>
        <v>1.6358374568903666</v>
      </c>
    </row>
    <row r="166" spans="1:10" hidden="1" outlineLevel="1" x14ac:dyDescent="0.3">
      <c r="A166" s="151" t="str">
        <f>'Inputs '!$A$6</f>
        <v>Production Lick</v>
      </c>
      <c r="B166" s="150">
        <f>'Inputs '!G6</f>
        <v>0.39</v>
      </c>
      <c r="C166" s="149"/>
      <c r="D166" s="149"/>
      <c r="E166" s="149"/>
      <c r="F166" s="149"/>
      <c r="G166" s="149"/>
      <c r="H166" s="149"/>
      <c r="I166" s="149"/>
      <c r="J166" s="566">
        <f t="shared" ref="J166:J177" si="37">((C166*$B$70*$C$12)+(D166*$B$70*$D$12)+(E166*$B$70*$E$12)+(F166*$B$70*$F$12)+(G166*$B$70*$G$12)+(H166*$B$70*$H$12)+(I166*$B$70*$I$12))/1000000</f>
        <v>0</v>
      </c>
    </row>
    <row r="167" spans="1:10" hidden="1" outlineLevel="1" x14ac:dyDescent="0.3">
      <c r="A167" s="151" t="str">
        <f>'Inputs '!$A$7</f>
        <v>Pen Feeding Meal</v>
      </c>
      <c r="B167" s="150">
        <f>'Inputs '!G7</f>
        <v>0.36</v>
      </c>
      <c r="C167" s="149"/>
      <c r="D167" s="149"/>
      <c r="E167" s="149"/>
      <c r="F167" s="149"/>
      <c r="G167" s="149"/>
      <c r="H167" s="149"/>
      <c r="I167" s="149"/>
      <c r="J167" s="566">
        <f t="shared" si="37"/>
        <v>0</v>
      </c>
    </row>
    <row r="168" spans="1:10" hidden="1" outlineLevel="1" x14ac:dyDescent="0.3">
      <c r="A168" s="151" t="str">
        <f>'Inputs '!$A$8</f>
        <v xml:space="preserve">Protein Cubes </v>
      </c>
      <c r="B168" s="150">
        <f>'Inputs '!G8</f>
        <v>0.57999999999999996</v>
      </c>
      <c r="C168" s="149"/>
      <c r="D168" s="149"/>
      <c r="E168" s="149"/>
      <c r="F168" s="149"/>
      <c r="G168" s="149"/>
      <c r="H168" s="149"/>
      <c r="I168" s="149"/>
      <c r="J168" s="566">
        <f t="shared" si="37"/>
        <v>0</v>
      </c>
    </row>
    <row r="169" spans="1:10" hidden="1" outlineLevel="1" x14ac:dyDescent="0.3">
      <c r="A169" s="151" t="str">
        <f>'Inputs '!$A$9</f>
        <v xml:space="preserve">Hay </v>
      </c>
      <c r="B169" s="150">
        <f>'Inputs '!G9</f>
        <v>0.2</v>
      </c>
      <c r="C169" s="149"/>
      <c r="D169" s="149"/>
      <c r="E169" s="149"/>
      <c r="F169" s="149"/>
      <c r="G169" s="149"/>
      <c r="H169" s="149"/>
      <c r="I169" s="149">
        <v>2500</v>
      </c>
      <c r="J169" s="566">
        <f t="shared" si="37"/>
        <v>5.7258556088711057</v>
      </c>
    </row>
    <row r="170" spans="1:10" hidden="1" outlineLevel="1" x14ac:dyDescent="0.3">
      <c r="A170" s="151" t="str">
        <f>'Inputs '!$A$10</f>
        <v>Chicken Litter</v>
      </c>
      <c r="B170" s="150">
        <f>'Inputs '!G10</f>
        <v>0.05</v>
      </c>
      <c r="C170" s="149"/>
      <c r="D170" s="149"/>
      <c r="E170" s="149"/>
      <c r="F170" s="149"/>
      <c r="G170" s="149"/>
      <c r="H170" s="149"/>
      <c r="I170" s="149"/>
      <c r="J170" s="566">
        <f t="shared" si="37"/>
        <v>0</v>
      </c>
    </row>
    <row r="171" spans="1:10" hidden="1" outlineLevel="1" x14ac:dyDescent="0.3">
      <c r="A171" s="151" t="str">
        <f>'Inputs '!$A$11</f>
        <v xml:space="preserve">Cotton Hulls </v>
      </c>
      <c r="B171" s="150">
        <f>'Inputs '!G11</f>
        <v>0</v>
      </c>
      <c r="C171" s="149"/>
      <c r="D171" s="149"/>
      <c r="E171" s="149"/>
      <c r="F171" s="149"/>
      <c r="G171" s="149"/>
      <c r="H171" s="149"/>
      <c r="I171" s="149"/>
      <c r="J171" s="566">
        <f t="shared" si="37"/>
        <v>0</v>
      </c>
    </row>
    <row r="172" spans="1:10" hidden="1" outlineLevel="1" x14ac:dyDescent="0.3">
      <c r="A172" s="151" t="str">
        <f>'Inputs '!$A$12</f>
        <v>Feed Grade Urea</v>
      </c>
      <c r="B172" s="150">
        <f>'Inputs '!G12</f>
        <v>0</v>
      </c>
      <c r="C172" s="149"/>
      <c r="D172" s="149"/>
      <c r="E172" s="149"/>
      <c r="F172" s="149"/>
      <c r="G172" s="149"/>
      <c r="H172" s="149"/>
      <c r="I172" s="149"/>
      <c r="J172" s="566">
        <f t="shared" si="37"/>
        <v>0</v>
      </c>
    </row>
    <row r="173" spans="1:10" hidden="1" outlineLevel="1" x14ac:dyDescent="0.3">
      <c r="A173" s="151" t="str">
        <f>'Inputs '!$A$13</f>
        <v>Molasses</v>
      </c>
      <c r="B173" s="150">
        <f>'Inputs '!G13</f>
        <v>0</v>
      </c>
      <c r="C173" s="149"/>
      <c r="D173" s="149"/>
      <c r="E173" s="149"/>
      <c r="F173" s="149"/>
      <c r="G173" s="149"/>
      <c r="H173" s="149"/>
      <c r="I173" s="149"/>
      <c r="J173" s="566">
        <f t="shared" si="37"/>
        <v>0</v>
      </c>
    </row>
    <row r="174" spans="1:10" hidden="1" outlineLevel="1" x14ac:dyDescent="0.3">
      <c r="A174" s="151" t="str">
        <f>'Inputs '!$A$14</f>
        <v>Salt</v>
      </c>
      <c r="B174" s="150">
        <f>'Inputs '!G14</f>
        <v>0</v>
      </c>
      <c r="C174" s="149"/>
      <c r="D174" s="149"/>
      <c r="E174" s="149"/>
      <c r="F174" s="149"/>
      <c r="G174" s="149"/>
      <c r="H174" s="149"/>
      <c r="I174" s="149"/>
      <c r="J174" s="566">
        <f t="shared" si="37"/>
        <v>0</v>
      </c>
    </row>
    <row r="175" spans="1:10" hidden="1" outlineLevel="1" x14ac:dyDescent="0.3">
      <c r="A175" s="151" t="str">
        <f>'Inputs '!$A$15</f>
        <v>-</v>
      </c>
      <c r="B175" s="150">
        <f>'Inputs '!G15</f>
        <v>0</v>
      </c>
      <c r="C175" s="149"/>
      <c r="D175" s="149"/>
      <c r="E175" s="149"/>
      <c r="F175" s="149"/>
      <c r="G175" s="149"/>
      <c r="H175" s="149"/>
      <c r="I175" s="149"/>
      <c r="J175" s="566">
        <f t="shared" si="37"/>
        <v>0</v>
      </c>
    </row>
    <row r="176" spans="1:10" hidden="1" outlineLevel="1" x14ac:dyDescent="0.3">
      <c r="A176" s="151" t="str">
        <f>'Inputs '!$A$16</f>
        <v>-</v>
      </c>
      <c r="B176" s="150">
        <f>'Inputs '!G16</f>
        <v>0</v>
      </c>
      <c r="C176" s="149"/>
      <c r="D176" s="149"/>
      <c r="E176" s="149"/>
      <c r="F176" s="149"/>
      <c r="G176" s="149"/>
      <c r="H176" s="149"/>
      <c r="I176" s="149"/>
      <c r="J176" s="566">
        <f t="shared" si="37"/>
        <v>0</v>
      </c>
    </row>
    <row r="177" spans="1:10" hidden="1" outlineLevel="1" x14ac:dyDescent="0.3">
      <c r="A177" s="151" t="str">
        <f>'Inputs '!$A$17</f>
        <v>-</v>
      </c>
      <c r="B177" s="150">
        <f>'Inputs '!G17</f>
        <v>0</v>
      </c>
      <c r="C177" s="149"/>
      <c r="D177" s="149"/>
      <c r="E177" s="149"/>
      <c r="F177" s="149"/>
      <c r="G177" s="149"/>
      <c r="H177" s="149"/>
      <c r="I177" s="149"/>
      <c r="J177" s="566">
        <f t="shared" si="37"/>
        <v>0</v>
      </c>
    </row>
    <row r="178" spans="1:10" ht="15" customHeight="1" collapsed="1" x14ac:dyDescent="0.3">
      <c r="A178" s="148" t="s">
        <v>296</v>
      </c>
      <c r="B178" s="147"/>
      <c r="C178" s="146">
        <f t="shared" ref="C178:I178" si="38">SUM($B$74*C164*$B$70+$B$75*C165*$B$70+$B$76*C166*$B$70+$B$77*C167*$B$70+$B$78*C168*$B$70+$B$79*C169*$B$70+$B$80*C170+$B$81*C171*+$B$82*C172*$B$70+$B$83*C173*$B$70+$B$84*C174*$B$70+$B$85*C175*+$B$86*C176*+$B$70+$B$87*C177*$B$70)/1000</f>
        <v>8.7420000000000009</v>
      </c>
      <c r="D178" s="146">
        <f>SUM($B$74*D164*$B$70+$B$75*D165*$B$70+$B$76*D166*$B$70+$B$77*D167*$B$70+$B$78*D168*$B$70+$B$79*D169*$B$70+$B$80*D170+$B$81*D171*+$B$82*D172*$B$70+$B$83*D173*$B$70+$B$84*D174*$B$70+$B$85*D175*+$B$86*D176*+$B$70+$B$87*D177*$B$70)/1000</f>
        <v>6.9935999999999998</v>
      </c>
      <c r="E178" s="146">
        <f t="shared" si="38"/>
        <v>6.1193999999999997</v>
      </c>
      <c r="F178" s="146">
        <f t="shared" si="38"/>
        <v>4.3710000000000004</v>
      </c>
      <c r="G178" s="146">
        <f t="shared" si="38"/>
        <v>6.1193999999999997</v>
      </c>
      <c r="H178" s="146">
        <f t="shared" si="38"/>
        <v>4.3710000000000004</v>
      </c>
      <c r="I178" s="146">
        <f t="shared" si="38"/>
        <v>17.2484</v>
      </c>
      <c r="J178" s="590">
        <f>SUM(J164:J177)</f>
        <v>7.3616930657614725</v>
      </c>
    </row>
    <row r="180" spans="1:10" x14ac:dyDescent="0.3">
      <c r="A180" s="157" t="s">
        <v>306</v>
      </c>
      <c r="B180" s="156">
        <v>31</v>
      </c>
      <c r="C180" s="155"/>
      <c r="D180" s="155"/>
      <c r="E180" s="155"/>
      <c r="F180" s="155"/>
      <c r="G180" s="155"/>
      <c r="H180" s="155"/>
      <c r="I180" s="155"/>
      <c r="J180" s="594"/>
    </row>
    <row r="181" spans="1:10" ht="24.6" hidden="1" outlineLevel="1" x14ac:dyDescent="0.3">
      <c r="A181" s="154" t="s">
        <v>292</v>
      </c>
      <c r="B181" s="153" t="s">
        <v>300</v>
      </c>
      <c r="C181" s="617" t="s">
        <v>299</v>
      </c>
      <c r="D181" s="617"/>
      <c r="E181" s="617"/>
      <c r="F181" s="617"/>
      <c r="G181" s="617"/>
      <c r="H181" s="617"/>
      <c r="I181" s="617"/>
      <c r="J181" s="595" t="s">
        <v>298</v>
      </c>
    </row>
    <row r="182" spans="1:10" hidden="1" outlineLevel="1" x14ac:dyDescent="0.3">
      <c r="A182" s="151" t="str">
        <f>'Inputs '!$A$4</f>
        <v xml:space="preserve">P6 Summer Lick </v>
      </c>
      <c r="B182" s="150">
        <f>'Inputs '!H4</f>
        <v>0.7</v>
      </c>
      <c r="C182" s="149"/>
      <c r="D182" s="149"/>
      <c r="E182" s="149"/>
      <c r="F182" s="149"/>
      <c r="G182" s="149"/>
      <c r="H182" s="149"/>
      <c r="I182" s="149"/>
      <c r="J182" s="566">
        <f>((C182*$B$70*$C$13)+(D182*$B$70*$D$13)+(E182*$B$70*$E$13)+(F182*$B$70*$F$13)+(G182*$B$70*$G$13)+(H182*$B$70*$H$13)+(I182*$B$70*$I$13))/1000000</f>
        <v>0</v>
      </c>
    </row>
    <row r="183" spans="1:10" hidden="1" outlineLevel="1" x14ac:dyDescent="0.3">
      <c r="A183" s="151" t="str">
        <f>'Inputs '!$A$5</f>
        <v>Winter Lick</v>
      </c>
      <c r="B183" s="150">
        <f>'Inputs '!H5</f>
        <v>0.47</v>
      </c>
      <c r="C183" s="149">
        <v>400</v>
      </c>
      <c r="D183" s="149">
        <v>350</v>
      </c>
      <c r="E183" s="149">
        <v>300</v>
      </c>
      <c r="F183" s="149">
        <v>250</v>
      </c>
      <c r="G183" s="149">
        <v>350</v>
      </c>
      <c r="H183" s="149">
        <v>250</v>
      </c>
      <c r="I183" s="149">
        <v>100</v>
      </c>
      <c r="J183" s="566">
        <f t="shared" ref="J183:J195" si="39">((C183*$B$70*$C$13)+(D183*$B$70*$D$13)+(E183*$B$70*$E$13)+(F183*$B$70*$F$13)+(G183*$B$70*$G$13)+(H183*$B$70*$H$13)+(I183*$B$70*$I$13))/1000000</f>
        <v>1.5564970805494041</v>
      </c>
    </row>
    <row r="184" spans="1:10" hidden="1" outlineLevel="1" x14ac:dyDescent="0.3">
      <c r="A184" s="151" t="str">
        <f>'Inputs '!$A$6</f>
        <v>Production Lick</v>
      </c>
      <c r="B184" s="150">
        <f>'Inputs '!H6</f>
        <v>0.39</v>
      </c>
      <c r="C184" s="149"/>
      <c r="D184" s="149"/>
      <c r="E184" s="149"/>
      <c r="F184" s="149"/>
      <c r="G184" s="149"/>
      <c r="H184" s="149"/>
      <c r="I184" s="149"/>
      <c r="J184" s="566">
        <f t="shared" si="39"/>
        <v>0</v>
      </c>
    </row>
    <row r="185" spans="1:10" hidden="1" outlineLevel="1" x14ac:dyDescent="0.3">
      <c r="A185" s="151" t="str">
        <f>'Inputs '!$A$7</f>
        <v>Pen Feeding Meal</v>
      </c>
      <c r="B185" s="150">
        <f>'Inputs '!H7</f>
        <v>0.36</v>
      </c>
      <c r="C185" s="149"/>
      <c r="D185" s="149"/>
      <c r="E185" s="149"/>
      <c r="F185" s="149"/>
      <c r="G185" s="149"/>
      <c r="H185" s="149"/>
      <c r="I185" s="149"/>
      <c r="J185" s="566">
        <f t="shared" si="39"/>
        <v>0</v>
      </c>
    </row>
    <row r="186" spans="1:10" hidden="1" outlineLevel="1" x14ac:dyDescent="0.3">
      <c r="A186" s="151" t="str">
        <f>'Inputs '!$A$8</f>
        <v xml:space="preserve">Protein Cubes </v>
      </c>
      <c r="B186" s="150">
        <f>'Inputs '!H8</f>
        <v>0.57999999999999996</v>
      </c>
      <c r="C186" s="149"/>
      <c r="D186" s="149"/>
      <c r="E186" s="149"/>
      <c r="F186" s="149"/>
      <c r="G186" s="149"/>
      <c r="H186" s="149"/>
      <c r="I186" s="149"/>
      <c r="J186" s="566">
        <f t="shared" si="39"/>
        <v>0</v>
      </c>
    </row>
    <row r="187" spans="1:10" hidden="1" outlineLevel="1" x14ac:dyDescent="0.3">
      <c r="A187" s="151" t="str">
        <f>'Inputs '!$A$9</f>
        <v xml:space="preserve">Hay </v>
      </c>
      <c r="B187" s="150">
        <f>'Inputs '!H9</f>
        <v>0.2</v>
      </c>
      <c r="C187" s="149"/>
      <c r="D187" s="149"/>
      <c r="E187" s="149"/>
      <c r="F187" s="149"/>
      <c r="G187" s="149"/>
      <c r="H187" s="149"/>
      <c r="I187" s="149"/>
      <c r="J187" s="566">
        <f t="shared" si="39"/>
        <v>0</v>
      </c>
    </row>
    <row r="188" spans="1:10" hidden="1" outlineLevel="1" x14ac:dyDescent="0.3">
      <c r="A188" s="151" t="str">
        <f>'Inputs '!$A$10</f>
        <v>Chicken Litter</v>
      </c>
      <c r="B188" s="150">
        <f>'Inputs '!H10</f>
        <v>0.05</v>
      </c>
      <c r="C188" s="149"/>
      <c r="D188" s="149"/>
      <c r="E188" s="149"/>
      <c r="F188" s="149"/>
      <c r="G188" s="149"/>
      <c r="H188" s="149"/>
      <c r="I188" s="149"/>
      <c r="J188" s="566">
        <f t="shared" si="39"/>
        <v>0</v>
      </c>
    </row>
    <row r="189" spans="1:10" hidden="1" outlineLevel="1" x14ac:dyDescent="0.3">
      <c r="A189" s="151" t="str">
        <f>'Inputs '!$A$11</f>
        <v xml:space="preserve">Cotton Hulls </v>
      </c>
      <c r="B189" s="150">
        <f>'Inputs '!H11</f>
        <v>0.2</v>
      </c>
      <c r="C189" s="149"/>
      <c r="D189" s="149"/>
      <c r="E189" s="149"/>
      <c r="F189" s="149"/>
      <c r="G189" s="149"/>
      <c r="H189" s="149"/>
      <c r="I189" s="149"/>
      <c r="J189" s="566">
        <f t="shared" si="39"/>
        <v>0</v>
      </c>
    </row>
    <row r="190" spans="1:10" hidden="1" outlineLevel="1" x14ac:dyDescent="0.3">
      <c r="A190" s="151" t="str">
        <f>'Inputs '!$A$12</f>
        <v>Feed Grade Urea</v>
      </c>
      <c r="B190" s="150">
        <f>'Inputs '!H12</f>
        <v>0</v>
      </c>
      <c r="C190" s="149"/>
      <c r="D190" s="149"/>
      <c r="E190" s="149"/>
      <c r="F190" s="149"/>
      <c r="G190" s="149"/>
      <c r="H190" s="149"/>
      <c r="I190" s="149"/>
      <c r="J190" s="566">
        <f t="shared" si="39"/>
        <v>0</v>
      </c>
    </row>
    <row r="191" spans="1:10" hidden="1" outlineLevel="1" x14ac:dyDescent="0.3">
      <c r="A191" s="151" t="str">
        <f>'Inputs '!$A$13</f>
        <v>Molasses</v>
      </c>
      <c r="B191" s="150">
        <f>'Inputs '!H13</f>
        <v>0</v>
      </c>
      <c r="C191" s="149"/>
      <c r="D191" s="149"/>
      <c r="E191" s="149"/>
      <c r="F191" s="149"/>
      <c r="G191" s="149"/>
      <c r="H191" s="149"/>
      <c r="I191" s="149"/>
      <c r="J191" s="566">
        <f t="shared" si="39"/>
        <v>0</v>
      </c>
    </row>
    <row r="192" spans="1:10" hidden="1" outlineLevel="1" x14ac:dyDescent="0.3">
      <c r="A192" s="151" t="str">
        <f>'Inputs '!$A$14</f>
        <v>Salt</v>
      </c>
      <c r="B192" s="150">
        <f>'Inputs '!H14</f>
        <v>0</v>
      </c>
      <c r="C192" s="149"/>
      <c r="D192" s="149"/>
      <c r="E192" s="149"/>
      <c r="F192" s="149"/>
      <c r="G192" s="149"/>
      <c r="H192" s="149"/>
      <c r="I192" s="149"/>
      <c r="J192" s="566">
        <f t="shared" si="39"/>
        <v>0</v>
      </c>
    </row>
    <row r="193" spans="1:10" hidden="1" outlineLevel="1" x14ac:dyDescent="0.3">
      <c r="A193" s="151" t="str">
        <f>'Inputs '!$A$15</f>
        <v>-</v>
      </c>
      <c r="B193" s="150">
        <f>'Inputs '!H15</f>
        <v>0</v>
      </c>
      <c r="C193" s="149"/>
      <c r="D193" s="149"/>
      <c r="E193" s="149"/>
      <c r="F193" s="149"/>
      <c r="G193" s="149"/>
      <c r="H193" s="149"/>
      <c r="I193" s="149"/>
      <c r="J193" s="566">
        <f t="shared" si="39"/>
        <v>0</v>
      </c>
    </row>
    <row r="194" spans="1:10" hidden="1" outlineLevel="1" x14ac:dyDescent="0.3">
      <c r="A194" s="151" t="str">
        <f>'Inputs '!$A$16</f>
        <v>-</v>
      </c>
      <c r="B194" s="150">
        <f>'Inputs '!H16</f>
        <v>0</v>
      </c>
      <c r="C194" s="149"/>
      <c r="D194" s="149"/>
      <c r="E194" s="149"/>
      <c r="F194" s="149"/>
      <c r="G194" s="149"/>
      <c r="H194" s="149"/>
      <c r="I194" s="149"/>
      <c r="J194" s="566">
        <f t="shared" si="39"/>
        <v>0</v>
      </c>
    </row>
    <row r="195" spans="1:10" hidden="1" outlineLevel="1" x14ac:dyDescent="0.3">
      <c r="A195" s="151" t="str">
        <f>'Inputs '!$A$17</f>
        <v>-</v>
      </c>
      <c r="B195" s="150">
        <f>'Inputs '!H17</f>
        <v>0</v>
      </c>
      <c r="C195" s="149"/>
      <c r="D195" s="149"/>
      <c r="E195" s="149"/>
      <c r="F195" s="149"/>
      <c r="G195" s="149"/>
      <c r="H195" s="149"/>
      <c r="I195" s="149"/>
      <c r="J195" s="566">
        <f t="shared" si="39"/>
        <v>0</v>
      </c>
    </row>
    <row r="196" spans="1:10" ht="15" customHeight="1" collapsed="1" x14ac:dyDescent="0.3">
      <c r="A196" s="148" t="s">
        <v>296</v>
      </c>
      <c r="B196" s="147"/>
      <c r="C196" s="146">
        <f t="shared" ref="C196:I196" si="40">SUM($B$74*C182*$B$70+$B$75*C183*$B$70+$B$76*C184*$B$70+$B$77*C185*$B$70+$B$78*C186*$B$70+$B$79*C187*$B$70+$B$80*C188+$B$81*C189*+$B$82*C190*$B$70+$B$83*C191*$B$70+$B$84*C192*$B$70+$B$85*C193*+$B$86*C194*+$B$70+$B$87*C195*$B$70)/1000</f>
        <v>5.8280000000000003</v>
      </c>
      <c r="D196" s="146">
        <f t="shared" si="40"/>
        <v>5.0994999999999999</v>
      </c>
      <c r="E196" s="146">
        <f t="shared" si="40"/>
        <v>4.3710000000000004</v>
      </c>
      <c r="F196" s="146">
        <f t="shared" si="40"/>
        <v>3.6425000000000001</v>
      </c>
      <c r="G196" s="146">
        <f t="shared" si="40"/>
        <v>5.0994999999999999</v>
      </c>
      <c r="H196" s="146">
        <f t="shared" si="40"/>
        <v>3.6425000000000001</v>
      </c>
      <c r="I196" s="146">
        <f t="shared" si="40"/>
        <v>1.4570000000000001</v>
      </c>
      <c r="J196" s="590">
        <f>SUM(J182:J195)</f>
        <v>1.5564970805494041</v>
      </c>
    </row>
    <row r="198" spans="1:10" x14ac:dyDescent="0.3">
      <c r="A198" s="157" t="s">
        <v>305</v>
      </c>
      <c r="B198" s="156">
        <v>31</v>
      </c>
      <c r="C198" s="155"/>
      <c r="D198" s="155"/>
      <c r="E198" s="155"/>
      <c r="F198" s="155"/>
      <c r="G198" s="155"/>
      <c r="H198" s="155"/>
      <c r="I198" s="155"/>
      <c r="J198" s="594"/>
    </row>
    <row r="199" spans="1:10" ht="24.6" hidden="1" outlineLevel="1" x14ac:dyDescent="0.3">
      <c r="A199" s="154" t="s">
        <v>292</v>
      </c>
      <c r="B199" s="153" t="s">
        <v>300</v>
      </c>
      <c r="C199" s="617" t="s">
        <v>299</v>
      </c>
      <c r="D199" s="617"/>
      <c r="E199" s="617"/>
      <c r="F199" s="617"/>
      <c r="G199" s="617"/>
      <c r="H199" s="617"/>
      <c r="I199" s="617"/>
      <c r="J199" s="595" t="s">
        <v>298</v>
      </c>
    </row>
    <row r="200" spans="1:10" hidden="1" outlineLevel="1" x14ac:dyDescent="0.3">
      <c r="A200" s="151" t="str">
        <f>'Inputs '!$A$4</f>
        <v xml:space="preserve">P6 Summer Lick </v>
      </c>
      <c r="B200" s="150">
        <f>'Inputs '!I4</f>
        <v>0.7</v>
      </c>
      <c r="C200" s="149"/>
      <c r="D200" s="149"/>
      <c r="E200" s="149"/>
      <c r="F200" s="149"/>
      <c r="G200" s="149"/>
      <c r="H200" s="149"/>
      <c r="I200" s="149"/>
      <c r="J200" s="566">
        <f>((C200*$B$70*$C$14)+(D200*$B$70*$D$14)+(E200*$B$70*$E$14)+(F200*$B$70*$F$14)+(G200*$B$70*$G$14)+(H200*$B$70*$H$14)+(I200*$B$70*$I$14))/1000000</f>
        <v>0</v>
      </c>
    </row>
    <row r="201" spans="1:10" hidden="1" outlineLevel="1" x14ac:dyDescent="0.3">
      <c r="A201" s="151" t="str">
        <f>'Inputs '!$A$5</f>
        <v>Winter Lick</v>
      </c>
      <c r="B201" s="150">
        <f>'Inputs '!I5</f>
        <v>0.47</v>
      </c>
      <c r="C201" s="149">
        <v>400</v>
      </c>
      <c r="D201" s="149">
        <v>350</v>
      </c>
      <c r="E201" s="149">
        <v>300</v>
      </c>
      <c r="F201" s="149">
        <v>250</v>
      </c>
      <c r="G201" s="149">
        <v>350</v>
      </c>
      <c r="H201" s="149">
        <v>250</v>
      </c>
      <c r="I201" s="149">
        <v>100</v>
      </c>
      <c r="J201" s="566">
        <f t="shared" ref="J201:J213" si="41">((C201*$B$70*$C$14)+(D201*$B$70*$D$14)+(E201*$B$70*$E$14)+(F201*$B$70*$F$14)+(G201*$B$70*$G$14)+(H201*$B$70*$H$14)+(I201*$B$70*$I$14))/1000000</f>
        <v>1.3821058378480302</v>
      </c>
    </row>
    <row r="202" spans="1:10" hidden="1" outlineLevel="1" x14ac:dyDescent="0.3">
      <c r="A202" s="151" t="str">
        <f>'Inputs '!$A$6</f>
        <v>Production Lick</v>
      </c>
      <c r="B202" s="150">
        <f>'Inputs '!I6</f>
        <v>0.39</v>
      </c>
      <c r="C202" s="149"/>
      <c r="D202" s="149"/>
      <c r="E202" s="149"/>
      <c r="F202" s="149"/>
      <c r="G202" s="149"/>
      <c r="H202" s="149"/>
      <c r="I202" s="149"/>
      <c r="J202" s="566">
        <f t="shared" si="41"/>
        <v>0</v>
      </c>
    </row>
    <row r="203" spans="1:10" hidden="1" outlineLevel="1" x14ac:dyDescent="0.3">
      <c r="A203" s="151" t="str">
        <f>'Inputs '!$A$7</f>
        <v>Pen Feeding Meal</v>
      </c>
      <c r="B203" s="150">
        <f>'Inputs '!I7</f>
        <v>0.36</v>
      </c>
      <c r="C203" s="149"/>
      <c r="D203" s="149"/>
      <c r="E203" s="149"/>
      <c r="F203" s="149"/>
      <c r="G203" s="149"/>
      <c r="H203" s="149"/>
      <c r="I203" s="149"/>
      <c r="J203" s="566">
        <f t="shared" si="41"/>
        <v>0</v>
      </c>
    </row>
    <row r="204" spans="1:10" hidden="1" outlineLevel="1" x14ac:dyDescent="0.3">
      <c r="A204" s="151" t="str">
        <f>'Inputs '!$A$8</f>
        <v xml:space="preserve">Protein Cubes </v>
      </c>
      <c r="B204" s="150">
        <f>'Inputs '!I8</f>
        <v>0.57999999999999996</v>
      </c>
      <c r="C204" s="149"/>
      <c r="D204" s="149"/>
      <c r="E204" s="149"/>
      <c r="F204" s="149"/>
      <c r="G204" s="149"/>
      <c r="H204" s="149"/>
      <c r="I204" s="149"/>
      <c r="J204" s="566">
        <f t="shared" si="41"/>
        <v>0</v>
      </c>
    </row>
    <row r="205" spans="1:10" hidden="1" outlineLevel="1" x14ac:dyDescent="0.3">
      <c r="A205" s="151" t="str">
        <f>'Inputs '!$A$9</f>
        <v xml:space="preserve">Hay </v>
      </c>
      <c r="B205" s="150">
        <f>'Inputs '!I9</f>
        <v>0.2</v>
      </c>
      <c r="C205" s="149"/>
      <c r="D205" s="149"/>
      <c r="E205" s="149"/>
      <c r="F205" s="149"/>
      <c r="G205" s="149"/>
      <c r="H205" s="149"/>
      <c r="I205" s="149"/>
      <c r="J205" s="566">
        <f t="shared" si="41"/>
        <v>0</v>
      </c>
    </row>
    <row r="206" spans="1:10" hidden="1" outlineLevel="1" x14ac:dyDescent="0.3">
      <c r="A206" s="151" t="str">
        <f>'Inputs '!$A$10</f>
        <v>Chicken Litter</v>
      </c>
      <c r="B206" s="150">
        <f>'Inputs '!I10</f>
        <v>0.05</v>
      </c>
      <c r="C206" s="149"/>
      <c r="D206" s="149"/>
      <c r="E206" s="149"/>
      <c r="F206" s="149"/>
      <c r="G206" s="149"/>
      <c r="H206" s="149"/>
      <c r="I206" s="149"/>
      <c r="J206" s="566">
        <f t="shared" si="41"/>
        <v>0</v>
      </c>
    </row>
    <row r="207" spans="1:10" hidden="1" outlineLevel="1" x14ac:dyDescent="0.3">
      <c r="A207" s="151" t="str">
        <f>'Inputs '!$A$11</f>
        <v xml:space="preserve">Cotton Hulls </v>
      </c>
      <c r="B207" s="150">
        <f>'Inputs '!I11</f>
        <v>0.2</v>
      </c>
      <c r="C207" s="149"/>
      <c r="D207" s="149"/>
      <c r="E207" s="149"/>
      <c r="F207" s="149"/>
      <c r="G207" s="149"/>
      <c r="H207" s="149"/>
      <c r="I207" s="149"/>
      <c r="J207" s="566">
        <f t="shared" si="41"/>
        <v>0</v>
      </c>
    </row>
    <row r="208" spans="1:10" hidden="1" outlineLevel="1" x14ac:dyDescent="0.3">
      <c r="A208" s="151" t="str">
        <f>'Inputs '!$A$12</f>
        <v>Feed Grade Urea</v>
      </c>
      <c r="B208" s="150">
        <f>'Inputs '!I12</f>
        <v>0</v>
      </c>
      <c r="C208" s="149"/>
      <c r="D208" s="149"/>
      <c r="E208" s="149"/>
      <c r="F208" s="149"/>
      <c r="G208" s="149"/>
      <c r="H208" s="149"/>
      <c r="I208" s="149"/>
      <c r="J208" s="566">
        <f t="shared" si="41"/>
        <v>0</v>
      </c>
    </row>
    <row r="209" spans="1:10" hidden="1" outlineLevel="1" x14ac:dyDescent="0.3">
      <c r="A209" s="151" t="str">
        <f>'Inputs '!$A$13</f>
        <v>Molasses</v>
      </c>
      <c r="B209" s="150">
        <f>'Inputs '!I13</f>
        <v>0</v>
      </c>
      <c r="C209" s="149"/>
      <c r="D209" s="149"/>
      <c r="E209" s="149"/>
      <c r="F209" s="149"/>
      <c r="G209" s="149"/>
      <c r="H209" s="149"/>
      <c r="I209" s="149"/>
      <c r="J209" s="566">
        <f t="shared" si="41"/>
        <v>0</v>
      </c>
    </row>
    <row r="210" spans="1:10" hidden="1" outlineLevel="1" x14ac:dyDescent="0.3">
      <c r="A210" s="151" t="str">
        <f>'Inputs '!$A$14</f>
        <v>Salt</v>
      </c>
      <c r="B210" s="150">
        <f>'Inputs '!I14</f>
        <v>0</v>
      </c>
      <c r="C210" s="149"/>
      <c r="D210" s="149"/>
      <c r="E210" s="149"/>
      <c r="F210" s="149"/>
      <c r="G210" s="149"/>
      <c r="H210" s="149"/>
      <c r="I210" s="149"/>
      <c r="J210" s="566">
        <f t="shared" si="41"/>
        <v>0</v>
      </c>
    </row>
    <row r="211" spans="1:10" hidden="1" outlineLevel="1" x14ac:dyDescent="0.3">
      <c r="A211" s="151" t="str">
        <f>'Inputs '!$A$15</f>
        <v>-</v>
      </c>
      <c r="B211" s="150">
        <f>'Inputs '!I15</f>
        <v>0</v>
      </c>
      <c r="C211" s="149"/>
      <c r="D211" s="149"/>
      <c r="E211" s="149"/>
      <c r="F211" s="149"/>
      <c r="G211" s="149"/>
      <c r="H211" s="149"/>
      <c r="I211" s="149"/>
      <c r="J211" s="566">
        <f t="shared" si="41"/>
        <v>0</v>
      </c>
    </row>
    <row r="212" spans="1:10" hidden="1" outlineLevel="1" x14ac:dyDescent="0.3">
      <c r="A212" s="151" t="str">
        <f>'Inputs '!$A$16</f>
        <v>-</v>
      </c>
      <c r="B212" s="150">
        <f>'Inputs '!I16</f>
        <v>0</v>
      </c>
      <c r="C212" s="149"/>
      <c r="D212" s="149"/>
      <c r="E212" s="149"/>
      <c r="F212" s="149"/>
      <c r="G212" s="149"/>
      <c r="H212" s="149"/>
      <c r="I212" s="149"/>
      <c r="J212" s="566">
        <f t="shared" si="41"/>
        <v>0</v>
      </c>
    </row>
    <row r="213" spans="1:10" hidden="1" outlineLevel="1" x14ac:dyDescent="0.3">
      <c r="A213" s="151" t="str">
        <f>'Inputs '!$A$17</f>
        <v>-</v>
      </c>
      <c r="B213" s="150">
        <f>'Inputs '!I17</f>
        <v>0</v>
      </c>
      <c r="C213" s="149"/>
      <c r="D213" s="149"/>
      <c r="E213" s="149"/>
      <c r="F213" s="149"/>
      <c r="G213" s="149"/>
      <c r="H213" s="149"/>
      <c r="I213" s="149"/>
      <c r="J213" s="566">
        <f t="shared" si="41"/>
        <v>0</v>
      </c>
    </row>
    <row r="214" spans="1:10" ht="15" customHeight="1" collapsed="1" x14ac:dyDescent="0.3">
      <c r="A214" s="148" t="s">
        <v>296</v>
      </c>
      <c r="B214" s="147"/>
      <c r="C214" s="146">
        <f t="shared" ref="C214:I214" si="42">SUM($B$74*C200*$B$70+$B$75*C201*$B$70+$B$76*C202*$B$70+$B$77*C203*$B$70+$B$78*C204*$B$70+$B$79*C205*$B$70+$B$80*C206+$B$81*C207*+$B$82*C208*$B$70+$B$83*C209*$B$70+$B$84*C210*$B$70+$B$85*C211*+$B$86*C212*+$B$70+$B$87*C213*$B$70)/1000</f>
        <v>5.8280000000000003</v>
      </c>
      <c r="D214" s="146">
        <f t="shared" si="42"/>
        <v>5.0994999999999999</v>
      </c>
      <c r="E214" s="146">
        <f t="shared" si="42"/>
        <v>4.3710000000000004</v>
      </c>
      <c r="F214" s="146">
        <f t="shared" si="42"/>
        <v>3.6425000000000001</v>
      </c>
      <c r="G214" s="146">
        <f t="shared" si="42"/>
        <v>5.0994999999999999</v>
      </c>
      <c r="H214" s="146">
        <f t="shared" si="42"/>
        <v>3.6425000000000001</v>
      </c>
      <c r="I214" s="146">
        <f t="shared" si="42"/>
        <v>1.4570000000000001</v>
      </c>
      <c r="J214" s="590">
        <f>SUM(J200:J213)</f>
        <v>1.3821058378480302</v>
      </c>
    </row>
    <row r="216" spans="1:10" x14ac:dyDescent="0.3">
      <c r="A216" s="157" t="s">
        <v>304</v>
      </c>
      <c r="B216" s="156">
        <v>30</v>
      </c>
      <c r="C216" s="155"/>
      <c r="D216" s="155"/>
      <c r="E216" s="155"/>
      <c r="F216" s="155"/>
      <c r="G216" s="155"/>
      <c r="H216" s="155"/>
      <c r="I216" s="155"/>
      <c r="J216" s="594"/>
    </row>
    <row r="217" spans="1:10" ht="24.6" hidden="1" outlineLevel="1" x14ac:dyDescent="0.3">
      <c r="A217" s="154" t="s">
        <v>292</v>
      </c>
      <c r="B217" s="153" t="s">
        <v>300</v>
      </c>
      <c r="C217" s="617" t="s">
        <v>299</v>
      </c>
      <c r="D217" s="617"/>
      <c r="E217" s="617"/>
      <c r="F217" s="617"/>
      <c r="G217" s="617"/>
      <c r="H217" s="617"/>
      <c r="I217" s="617"/>
      <c r="J217" s="595" t="s">
        <v>298</v>
      </c>
    </row>
    <row r="218" spans="1:10" hidden="1" outlineLevel="1" x14ac:dyDescent="0.3">
      <c r="A218" s="151" t="str">
        <f>'Inputs '!$A$4</f>
        <v xml:space="preserve">P6 Summer Lick </v>
      </c>
      <c r="B218" s="150">
        <f>'Inputs '!J4</f>
        <v>0.7</v>
      </c>
      <c r="C218" s="149"/>
      <c r="D218" s="149"/>
      <c r="E218" s="149"/>
      <c r="F218" s="149"/>
      <c r="G218" s="149"/>
      <c r="H218" s="149"/>
      <c r="I218" s="149"/>
      <c r="J218" s="566">
        <f>((C218*$B$70*$C$15)+(D218*$B$70*$D$15)+(E218*$B$70*$E$15)+(F218*$B$70*$F$15)+(G218*$B$70*$G$15)+(H218*$B$70*$H$15)+(I218*$B$70*$I$15))/1000000</f>
        <v>0</v>
      </c>
    </row>
    <row r="219" spans="1:10" hidden="1" outlineLevel="1" x14ac:dyDescent="0.3">
      <c r="A219" s="151" t="str">
        <f>'Inputs '!$A$5</f>
        <v>Winter Lick</v>
      </c>
      <c r="B219" s="150">
        <f>'Inputs '!J5</f>
        <v>0.47</v>
      </c>
      <c r="C219" s="149">
        <v>400</v>
      </c>
      <c r="D219" s="149">
        <v>350</v>
      </c>
      <c r="E219" s="149">
        <v>300</v>
      </c>
      <c r="F219" s="149">
        <v>250</v>
      </c>
      <c r="G219" s="149">
        <v>350</v>
      </c>
      <c r="H219" s="149">
        <v>250</v>
      </c>
      <c r="I219" s="149">
        <v>100</v>
      </c>
      <c r="J219" s="566">
        <f t="shared" ref="J219:J231" si="43">((C219*$B$70*$C$15)+(D219*$B$70*$D$15)+(E219*$B$70*$E$15)+(F219*$B$70*$F$15)+(G219*$B$70*$G$15)+(H219*$B$70*$H$15)+(I219*$B$70*$I$15))/1000000</f>
        <v>1.2500005732534103</v>
      </c>
    </row>
    <row r="220" spans="1:10" hidden="1" outlineLevel="1" x14ac:dyDescent="0.3">
      <c r="A220" s="151" t="str">
        <f>'Inputs '!$A$6</f>
        <v>Production Lick</v>
      </c>
      <c r="B220" s="150">
        <f>'Inputs '!J6</f>
        <v>0.39</v>
      </c>
      <c r="C220" s="149"/>
      <c r="D220" s="149"/>
      <c r="E220" s="149"/>
      <c r="F220" s="149"/>
      <c r="G220" s="149"/>
      <c r="H220" s="149"/>
      <c r="I220" s="149"/>
      <c r="J220" s="566">
        <f t="shared" si="43"/>
        <v>0</v>
      </c>
    </row>
    <row r="221" spans="1:10" hidden="1" outlineLevel="1" x14ac:dyDescent="0.3">
      <c r="A221" s="151" t="str">
        <f>'Inputs '!$A$7</f>
        <v>Pen Feeding Meal</v>
      </c>
      <c r="B221" s="150">
        <f>'Inputs '!J7</f>
        <v>0.36</v>
      </c>
      <c r="C221" s="149"/>
      <c r="D221" s="149"/>
      <c r="E221" s="149"/>
      <c r="F221" s="149"/>
      <c r="G221" s="149"/>
      <c r="H221" s="149">
        <v>6000</v>
      </c>
      <c r="I221" s="149"/>
      <c r="J221" s="566">
        <f t="shared" si="43"/>
        <v>2.7378527545568945</v>
      </c>
    </row>
    <row r="222" spans="1:10" hidden="1" outlineLevel="1" x14ac:dyDescent="0.3">
      <c r="A222" s="151" t="str">
        <f>'Inputs '!$A$8</f>
        <v xml:space="preserve">Protein Cubes </v>
      </c>
      <c r="B222" s="150">
        <f>'Inputs '!J8</f>
        <v>0.57999999999999996</v>
      </c>
      <c r="C222" s="149"/>
      <c r="D222" s="149"/>
      <c r="E222" s="149"/>
      <c r="F222" s="149"/>
      <c r="G222" s="149"/>
      <c r="H222" s="149"/>
      <c r="I222" s="149"/>
      <c r="J222" s="566">
        <f t="shared" si="43"/>
        <v>0</v>
      </c>
    </row>
    <row r="223" spans="1:10" hidden="1" outlineLevel="1" x14ac:dyDescent="0.3">
      <c r="A223" s="151" t="str">
        <f>'Inputs '!$A$9</f>
        <v xml:space="preserve">Hay </v>
      </c>
      <c r="B223" s="150">
        <f>'Inputs '!J9</f>
        <v>0.2</v>
      </c>
      <c r="C223" s="149"/>
      <c r="D223" s="149"/>
      <c r="E223" s="149"/>
      <c r="F223" s="149"/>
      <c r="G223" s="149"/>
      <c r="H223" s="149"/>
      <c r="I223" s="149"/>
      <c r="J223" s="566">
        <f t="shared" si="43"/>
        <v>0</v>
      </c>
    </row>
    <row r="224" spans="1:10" hidden="1" outlineLevel="1" x14ac:dyDescent="0.3">
      <c r="A224" s="151" t="str">
        <f>'Inputs '!$A$10</f>
        <v>Chicken Litter</v>
      </c>
      <c r="B224" s="150">
        <f>'Inputs '!J10</f>
        <v>0.05</v>
      </c>
      <c r="C224" s="149"/>
      <c r="D224" s="149"/>
      <c r="E224" s="149"/>
      <c r="F224" s="149"/>
      <c r="G224" s="149"/>
      <c r="H224" s="149"/>
      <c r="I224" s="149"/>
      <c r="J224" s="566">
        <f t="shared" si="43"/>
        <v>0</v>
      </c>
    </row>
    <row r="225" spans="1:10" hidden="1" outlineLevel="1" x14ac:dyDescent="0.3">
      <c r="A225" s="151" t="str">
        <f>'Inputs '!$A$11</f>
        <v xml:space="preserve">Cotton Hulls </v>
      </c>
      <c r="B225" s="150">
        <f>'Inputs '!J11</f>
        <v>0.2</v>
      </c>
      <c r="C225" s="149"/>
      <c r="D225" s="149"/>
      <c r="E225" s="149"/>
      <c r="F225" s="149"/>
      <c r="G225" s="149"/>
      <c r="H225" s="149"/>
      <c r="I225" s="149"/>
      <c r="J225" s="566">
        <f t="shared" si="43"/>
        <v>0</v>
      </c>
    </row>
    <row r="226" spans="1:10" hidden="1" outlineLevel="1" x14ac:dyDescent="0.3">
      <c r="A226" s="151" t="str">
        <f>'Inputs '!$A$12</f>
        <v>Feed Grade Urea</v>
      </c>
      <c r="B226" s="150">
        <f>'Inputs '!J12</f>
        <v>0</v>
      </c>
      <c r="C226" s="149"/>
      <c r="D226" s="149"/>
      <c r="E226" s="149"/>
      <c r="F226" s="149"/>
      <c r="G226" s="149"/>
      <c r="H226" s="149"/>
      <c r="I226" s="149"/>
      <c r="J226" s="566">
        <f t="shared" si="43"/>
        <v>0</v>
      </c>
    </row>
    <row r="227" spans="1:10" hidden="1" outlineLevel="1" x14ac:dyDescent="0.3">
      <c r="A227" s="151" t="str">
        <f>'Inputs '!$A$13</f>
        <v>Molasses</v>
      </c>
      <c r="B227" s="150">
        <f>'Inputs '!J13</f>
        <v>0</v>
      </c>
      <c r="C227" s="149"/>
      <c r="D227" s="149"/>
      <c r="E227" s="149"/>
      <c r="F227" s="149"/>
      <c r="G227" s="149"/>
      <c r="H227" s="149"/>
      <c r="I227" s="149"/>
      <c r="J227" s="566">
        <f t="shared" si="43"/>
        <v>0</v>
      </c>
    </row>
    <row r="228" spans="1:10" hidden="1" outlineLevel="1" x14ac:dyDescent="0.3">
      <c r="A228" s="151" t="str">
        <f>'Inputs '!$A$14</f>
        <v>Salt</v>
      </c>
      <c r="B228" s="150">
        <f>'Inputs '!J14</f>
        <v>0</v>
      </c>
      <c r="C228" s="149"/>
      <c r="D228" s="149"/>
      <c r="E228" s="149"/>
      <c r="F228" s="149"/>
      <c r="G228" s="149"/>
      <c r="H228" s="149"/>
      <c r="I228" s="149"/>
      <c r="J228" s="566">
        <f t="shared" si="43"/>
        <v>0</v>
      </c>
    </row>
    <row r="229" spans="1:10" hidden="1" outlineLevel="1" x14ac:dyDescent="0.3">
      <c r="A229" s="151" t="str">
        <f>'Inputs '!$A$15</f>
        <v>-</v>
      </c>
      <c r="B229" s="150">
        <f>'Inputs '!J15</f>
        <v>0</v>
      </c>
      <c r="C229" s="149"/>
      <c r="D229" s="149"/>
      <c r="E229" s="149"/>
      <c r="F229" s="149"/>
      <c r="G229" s="149"/>
      <c r="H229" s="149"/>
      <c r="I229" s="149"/>
      <c r="J229" s="566">
        <f t="shared" si="43"/>
        <v>0</v>
      </c>
    </row>
    <row r="230" spans="1:10" hidden="1" outlineLevel="1" x14ac:dyDescent="0.3">
      <c r="A230" s="151" t="str">
        <f>'Inputs '!$A$16</f>
        <v>-</v>
      </c>
      <c r="B230" s="150">
        <f>'Inputs '!J16</f>
        <v>0</v>
      </c>
      <c r="C230" s="149"/>
      <c r="D230" s="149"/>
      <c r="E230" s="149"/>
      <c r="F230" s="149"/>
      <c r="G230" s="149"/>
      <c r="H230" s="149"/>
      <c r="I230" s="149"/>
      <c r="J230" s="566">
        <f t="shared" si="43"/>
        <v>0</v>
      </c>
    </row>
    <row r="231" spans="1:10" hidden="1" outlineLevel="1" x14ac:dyDescent="0.3">
      <c r="A231" s="151" t="str">
        <f>'Inputs '!$A$17</f>
        <v>-</v>
      </c>
      <c r="B231" s="150">
        <f>'Inputs '!J17</f>
        <v>0</v>
      </c>
      <c r="C231" s="149"/>
      <c r="D231" s="149"/>
      <c r="E231" s="149"/>
      <c r="F231" s="149"/>
      <c r="G231" s="149"/>
      <c r="H231" s="149"/>
      <c r="I231" s="149"/>
      <c r="J231" s="566">
        <f t="shared" si="43"/>
        <v>0</v>
      </c>
    </row>
    <row r="232" spans="1:10" ht="15" customHeight="1" collapsed="1" x14ac:dyDescent="0.3">
      <c r="A232" s="148" t="s">
        <v>296</v>
      </c>
      <c r="B232" s="147"/>
      <c r="C232" s="146">
        <f t="shared" ref="C232:I232" si="44">SUM($B$74*C218*$B$70+$B$75*C219*$B$70+$B$76*C220*$B$70+$B$77*C221*$B$70+$B$78*C222*$B$70+$B$79*C223*$B$70+$B$80*C224+$B$81*C225*+$B$82*C226*$B$70+$B$83*C227*$B$70+$B$84*C228*$B$70+$B$85*C229*+$B$86*C230*+$B$70+$B$87*C231*$B$70)/1000</f>
        <v>5.8280000000000003</v>
      </c>
      <c r="D232" s="146">
        <f t="shared" si="44"/>
        <v>5.0994999999999999</v>
      </c>
      <c r="E232" s="146">
        <f t="shared" si="44"/>
        <v>4.3710000000000004</v>
      </c>
      <c r="F232" s="146">
        <f t="shared" si="44"/>
        <v>3.6425000000000001</v>
      </c>
      <c r="G232" s="146">
        <f t="shared" si="44"/>
        <v>5.0994999999999999</v>
      </c>
      <c r="H232" s="146">
        <f t="shared" si="44"/>
        <v>70.602500000000006</v>
      </c>
      <c r="I232" s="146">
        <f t="shared" si="44"/>
        <v>1.4570000000000001</v>
      </c>
      <c r="J232" s="590">
        <f>SUM(J218:J231)</f>
        <v>3.9878533278103045</v>
      </c>
    </row>
    <row r="234" spans="1:10" x14ac:dyDescent="0.3">
      <c r="A234" s="157" t="s">
        <v>303</v>
      </c>
      <c r="B234" s="156">
        <v>31</v>
      </c>
      <c r="C234" s="155"/>
      <c r="D234" s="155"/>
      <c r="E234" s="155"/>
      <c r="F234" s="155"/>
      <c r="G234" s="155"/>
      <c r="H234" s="155"/>
      <c r="I234" s="155"/>
      <c r="J234" s="594"/>
    </row>
    <row r="235" spans="1:10" ht="24.6" hidden="1" outlineLevel="1" x14ac:dyDescent="0.3">
      <c r="A235" s="154" t="s">
        <v>292</v>
      </c>
      <c r="B235" s="153" t="s">
        <v>300</v>
      </c>
      <c r="C235" s="617" t="s">
        <v>299</v>
      </c>
      <c r="D235" s="617"/>
      <c r="E235" s="617"/>
      <c r="F235" s="617"/>
      <c r="G235" s="617"/>
      <c r="H235" s="617"/>
      <c r="I235" s="617"/>
      <c r="J235" s="595" t="s">
        <v>298</v>
      </c>
    </row>
    <row r="236" spans="1:10" hidden="1" outlineLevel="1" x14ac:dyDescent="0.3">
      <c r="A236" s="151" t="str">
        <f>'Inputs '!$A$4</f>
        <v xml:space="preserve">P6 Summer Lick </v>
      </c>
      <c r="B236" s="150">
        <f>'Inputs '!K4</f>
        <v>0.7</v>
      </c>
      <c r="C236" s="149"/>
      <c r="D236" s="149"/>
      <c r="E236" s="149"/>
      <c r="F236" s="149"/>
      <c r="G236" s="149"/>
      <c r="H236" s="149"/>
      <c r="I236" s="149"/>
      <c r="J236" s="566">
        <f>((C236*$B$70*$C$16)+(D236*$B$70*$D$16)+(E236*$B$70*$E$16)+(F236*$B$70*$F$16)+(G236*$B$70*$G$16)+(H236*$B$70*$H$16)+(I236*$B$70*$I$16))/1000000</f>
        <v>0</v>
      </c>
    </row>
    <row r="237" spans="1:10" hidden="1" outlineLevel="1" x14ac:dyDescent="0.3">
      <c r="A237" s="151" t="str">
        <f>'Inputs '!$A$5</f>
        <v>Winter Lick</v>
      </c>
      <c r="B237" s="150">
        <f>'Inputs '!K5</f>
        <v>0.47</v>
      </c>
      <c r="C237" s="149">
        <v>400</v>
      </c>
      <c r="D237" s="149">
        <v>350</v>
      </c>
      <c r="E237" s="149">
        <v>300</v>
      </c>
      <c r="F237" s="149">
        <v>250</v>
      </c>
      <c r="G237" s="149">
        <v>350</v>
      </c>
      <c r="H237" s="149">
        <v>250</v>
      </c>
      <c r="I237" s="149">
        <v>100</v>
      </c>
      <c r="J237" s="566">
        <f t="shared" ref="J237:J249" si="45">((C237*$B$70*$C$16)+(D237*$B$70*$D$16)+(E237*$B$70*$E$16)+(F237*$B$70*$F$16)+(G237*$B$70*$G$16)+(H237*$B$70*$H$16)+(I237*$B$70*$I$16))/1000000</f>
        <v>1.3230764643634649</v>
      </c>
    </row>
    <row r="238" spans="1:10" hidden="1" outlineLevel="1" x14ac:dyDescent="0.3">
      <c r="A238" s="151" t="str">
        <f>'Inputs '!$A$6</f>
        <v>Production Lick</v>
      </c>
      <c r="B238" s="150">
        <f>'Inputs '!K6</f>
        <v>0.39</v>
      </c>
      <c r="C238" s="149"/>
      <c r="D238" s="149"/>
      <c r="E238" s="149"/>
      <c r="F238" s="149"/>
      <c r="G238" s="149"/>
      <c r="H238" s="149"/>
      <c r="I238" s="149"/>
      <c r="J238" s="566">
        <f t="shared" si="45"/>
        <v>0</v>
      </c>
    </row>
    <row r="239" spans="1:10" hidden="1" outlineLevel="1" x14ac:dyDescent="0.3">
      <c r="A239" s="151" t="str">
        <f>'Inputs '!$A$7</f>
        <v>Pen Feeding Meal</v>
      </c>
      <c r="B239" s="150">
        <f>'Inputs '!K7</f>
        <v>0.36</v>
      </c>
      <c r="C239" s="149"/>
      <c r="D239" s="149"/>
      <c r="E239" s="149"/>
      <c r="F239" s="149"/>
      <c r="G239" s="149"/>
      <c r="H239" s="149">
        <v>8000</v>
      </c>
      <c r="I239" s="149"/>
      <c r="J239" s="566">
        <f t="shared" si="45"/>
        <v>3.6413441635606696</v>
      </c>
    </row>
    <row r="240" spans="1:10" hidden="1" outlineLevel="1" x14ac:dyDescent="0.3">
      <c r="A240" s="151" t="str">
        <f>'Inputs '!$A$8</f>
        <v xml:space="preserve">Protein Cubes </v>
      </c>
      <c r="B240" s="150">
        <f>'Inputs '!K8</f>
        <v>0.57999999999999996</v>
      </c>
      <c r="C240" s="149"/>
      <c r="D240" s="149"/>
      <c r="E240" s="149"/>
      <c r="F240" s="149"/>
      <c r="G240" s="149"/>
      <c r="H240" s="149"/>
      <c r="I240" s="149"/>
      <c r="J240" s="566">
        <f t="shared" si="45"/>
        <v>0</v>
      </c>
    </row>
    <row r="241" spans="1:10" hidden="1" outlineLevel="1" x14ac:dyDescent="0.3">
      <c r="A241" s="151" t="str">
        <f>'Inputs '!$A$9</f>
        <v xml:space="preserve">Hay </v>
      </c>
      <c r="B241" s="150">
        <f>'Inputs '!K9</f>
        <v>0.2</v>
      </c>
      <c r="C241" s="149"/>
      <c r="D241" s="149"/>
      <c r="E241" s="149"/>
      <c r="F241" s="149"/>
      <c r="G241" s="149"/>
      <c r="H241" s="149"/>
      <c r="I241" s="149"/>
      <c r="J241" s="566">
        <f t="shared" si="45"/>
        <v>0</v>
      </c>
    </row>
    <row r="242" spans="1:10" hidden="1" outlineLevel="1" x14ac:dyDescent="0.3">
      <c r="A242" s="151" t="str">
        <f>'Inputs '!$A$10</f>
        <v>Chicken Litter</v>
      </c>
      <c r="B242" s="150">
        <f>'Inputs '!K10</f>
        <v>0.05</v>
      </c>
      <c r="C242" s="149"/>
      <c r="D242" s="149"/>
      <c r="E242" s="149"/>
      <c r="F242" s="149"/>
      <c r="G242" s="149"/>
      <c r="H242" s="149"/>
      <c r="I242" s="149"/>
      <c r="J242" s="566">
        <f t="shared" si="45"/>
        <v>0</v>
      </c>
    </row>
    <row r="243" spans="1:10" hidden="1" outlineLevel="1" x14ac:dyDescent="0.3">
      <c r="A243" s="151" t="str">
        <f>'Inputs '!$A$11</f>
        <v xml:space="preserve">Cotton Hulls </v>
      </c>
      <c r="B243" s="150">
        <f>'Inputs '!K11</f>
        <v>0.2</v>
      </c>
      <c r="C243" s="149"/>
      <c r="D243" s="149"/>
      <c r="E243" s="149"/>
      <c r="F243" s="149"/>
      <c r="G243" s="149"/>
      <c r="H243" s="149"/>
      <c r="I243" s="149"/>
      <c r="J243" s="566">
        <f t="shared" si="45"/>
        <v>0</v>
      </c>
    </row>
    <row r="244" spans="1:10" hidden="1" outlineLevel="1" x14ac:dyDescent="0.3">
      <c r="A244" s="151" t="str">
        <f>'Inputs '!$A$12</f>
        <v>Feed Grade Urea</v>
      </c>
      <c r="B244" s="150">
        <f>'Inputs '!K12</f>
        <v>0</v>
      </c>
      <c r="C244" s="149"/>
      <c r="D244" s="149"/>
      <c r="E244" s="149"/>
      <c r="F244" s="149"/>
      <c r="G244" s="149"/>
      <c r="H244" s="149"/>
      <c r="I244" s="149"/>
      <c r="J244" s="566">
        <f t="shared" si="45"/>
        <v>0</v>
      </c>
    </row>
    <row r="245" spans="1:10" hidden="1" outlineLevel="1" x14ac:dyDescent="0.3">
      <c r="A245" s="151" t="str">
        <f>'Inputs '!$A$13</f>
        <v>Molasses</v>
      </c>
      <c r="B245" s="150">
        <f>'Inputs '!K13</f>
        <v>0</v>
      </c>
      <c r="C245" s="149"/>
      <c r="D245" s="149"/>
      <c r="E245" s="149"/>
      <c r="F245" s="149"/>
      <c r="G245" s="149"/>
      <c r="H245" s="149"/>
      <c r="I245" s="149"/>
      <c r="J245" s="566">
        <f t="shared" si="45"/>
        <v>0</v>
      </c>
    </row>
    <row r="246" spans="1:10" hidden="1" outlineLevel="1" x14ac:dyDescent="0.3">
      <c r="A246" s="151" t="str">
        <f>'Inputs '!$A$14</f>
        <v>Salt</v>
      </c>
      <c r="B246" s="150">
        <f>'Inputs '!K14</f>
        <v>0</v>
      </c>
      <c r="C246" s="149"/>
      <c r="D246" s="149"/>
      <c r="E246" s="149"/>
      <c r="F246" s="149"/>
      <c r="G246" s="149"/>
      <c r="H246" s="149"/>
      <c r="I246" s="149"/>
      <c r="J246" s="566">
        <f t="shared" si="45"/>
        <v>0</v>
      </c>
    </row>
    <row r="247" spans="1:10" hidden="1" outlineLevel="1" x14ac:dyDescent="0.3">
      <c r="A247" s="151" t="str">
        <f>'Inputs '!$A$15</f>
        <v>-</v>
      </c>
      <c r="B247" s="150">
        <f>'Inputs '!K15</f>
        <v>0</v>
      </c>
      <c r="C247" s="149"/>
      <c r="D247" s="149"/>
      <c r="E247" s="149"/>
      <c r="F247" s="149"/>
      <c r="G247" s="149"/>
      <c r="H247" s="149"/>
      <c r="I247" s="149"/>
      <c r="J247" s="566">
        <f t="shared" si="45"/>
        <v>0</v>
      </c>
    </row>
    <row r="248" spans="1:10" hidden="1" outlineLevel="1" x14ac:dyDescent="0.3">
      <c r="A248" s="151" t="str">
        <f>'Inputs '!$A$16</f>
        <v>-</v>
      </c>
      <c r="B248" s="150">
        <f>'Inputs '!K16</f>
        <v>0</v>
      </c>
      <c r="C248" s="149"/>
      <c r="D248" s="149"/>
      <c r="E248" s="149"/>
      <c r="F248" s="149"/>
      <c r="G248" s="149"/>
      <c r="H248" s="149"/>
      <c r="I248" s="149"/>
      <c r="J248" s="566">
        <f t="shared" si="45"/>
        <v>0</v>
      </c>
    </row>
    <row r="249" spans="1:10" hidden="1" outlineLevel="1" x14ac:dyDescent="0.3">
      <c r="A249" s="151" t="str">
        <f>'Inputs '!$A$17</f>
        <v>-</v>
      </c>
      <c r="B249" s="150">
        <f>'Inputs '!K17</f>
        <v>0</v>
      </c>
      <c r="C249" s="149"/>
      <c r="D249" s="149"/>
      <c r="E249" s="149"/>
      <c r="F249" s="149"/>
      <c r="G249" s="149"/>
      <c r="H249" s="149"/>
      <c r="I249" s="149"/>
      <c r="J249" s="566">
        <f t="shared" si="45"/>
        <v>0</v>
      </c>
    </row>
    <row r="250" spans="1:10" ht="15" customHeight="1" collapsed="1" x14ac:dyDescent="0.3">
      <c r="A250" s="148" t="s">
        <v>296</v>
      </c>
      <c r="B250" s="147"/>
      <c r="C250" s="146">
        <f t="shared" ref="C250:I250" si="46">SUM($B$74*C236*$B$70+$B$75*C237*$B$70+$B$76*C238*$B$70+$B$77*C239*$B$70+$B$78*C240*$B$70+$B$79*C241*$B$70+$B$80*C242+$B$81*C243*+$B$82*C244*$B$70+$B$83*C245*$B$70+$B$84*C246*$B$70+$B$85*C247*+$B$86*C248*+$B$70+$B$87*C249*$B$70)/1000</f>
        <v>5.8280000000000003</v>
      </c>
      <c r="D250" s="146">
        <f t="shared" si="46"/>
        <v>5.0994999999999999</v>
      </c>
      <c r="E250" s="146">
        <f t="shared" si="46"/>
        <v>4.3710000000000004</v>
      </c>
      <c r="F250" s="146">
        <f t="shared" si="46"/>
        <v>3.6425000000000001</v>
      </c>
      <c r="G250" s="146">
        <f t="shared" si="46"/>
        <v>5.0994999999999999</v>
      </c>
      <c r="H250" s="146">
        <f t="shared" si="46"/>
        <v>92.922499999999999</v>
      </c>
      <c r="I250" s="146">
        <f t="shared" si="46"/>
        <v>1.4570000000000001</v>
      </c>
      <c r="J250" s="590">
        <f>SUM(J236:J249)</f>
        <v>4.9644206279241345</v>
      </c>
    </row>
    <row r="252" spans="1:10" x14ac:dyDescent="0.3">
      <c r="A252" s="157" t="s">
        <v>302</v>
      </c>
      <c r="B252" s="156">
        <v>30</v>
      </c>
      <c r="C252" s="155"/>
      <c r="D252" s="155"/>
      <c r="E252" s="155"/>
      <c r="F252" s="155"/>
      <c r="G252" s="155"/>
      <c r="H252" s="155"/>
      <c r="I252" s="155"/>
      <c r="J252" s="594"/>
    </row>
    <row r="253" spans="1:10" ht="24.6" hidden="1" outlineLevel="1" x14ac:dyDescent="0.3">
      <c r="A253" s="154" t="s">
        <v>292</v>
      </c>
      <c r="B253" s="153" t="s">
        <v>300</v>
      </c>
      <c r="C253" s="617" t="s">
        <v>299</v>
      </c>
      <c r="D253" s="617"/>
      <c r="E253" s="617"/>
      <c r="F253" s="617"/>
      <c r="G253" s="617"/>
      <c r="H253" s="617"/>
      <c r="I253" s="617"/>
      <c r="J253" s="595" t="s">
        <v>298</v>
      </c>
    </row>
    <row r="254" spans="1:10" hidden="1" outlineLevel="1" x14ac:dyDescent="0.3">
      <c r="A254" s="151" t="str">
        <f>'Inputs '!$A$4</f>
        <v xml:space="preserve">P6 Summer Lick </v>
      </c>
      <c r="B254" s="150">
        <f>'Inputs '!L4</f>
        <v>0.7</v>
      </c>
      <c r="C254" s="149">
        <v>100</v>
      </c>
      <c r="D254" s="149">
        <v>100</v>
      </c>
      <c r="E254" s="149">
        <v>100</v>
      </c>
      <c r="F254" s="149">
        <v>100</v>
      </c>
      <c r="G254" s="149">
        <v>100</v>
      </c>
      <c r="H254" s="149">
        <v>100</v>
      </c>
      <c r="I254" s="149">
        <v>100</v>
      </c>
      <c r="J254" s="566">
        <f>((C254*$B$70*$C$17)+(D254*$B$70*$D$17)+(E254*$B$70*$E$17)+(F254*$B$70*$F$17)+(G254*$B$70*$G$17)+(H254*$B$70*$H$17)+(I254*$B$70*$I$17))/1000000</f>
        <v>0.53835329267534027</v>
      </c>
    </row>
    <row r="255" spans="1:10" hidden="1" outlineLevel="1" x14ac:dyDescent="0.3">
      <c r="A255" s="151" t="str">
        <f>'Inputs '!$A$5</f>
        <v>Winter Lick</v>
      </c>
      <c r="B255" s="150">
        <f>'Inputs '!L5</f>
        <v>0.47</v>
      </c>
      <c r="C255" s="149">
        <v>200</v>
      </c>
      <c r="D255" s="149">
        <v>175</v>
      </c>
      <c r="E255" s="149">
        <v>150</v>
      </c>
      <c r="F255" s="149">
        <v>125</v>
      </c>
      <c r="G255" s="149">
        <v>175</v>
      </c>
      <c r="H255" s="149">
        <v>125</v>
      </c>
      <c r="I255" s="149">
        <v>50</v>
      </c>
      <c r="J255" s="566">
        <f t="shared" ref="J255:J267" si="47">((C255*$B$70*$C$17)+(D255*$B$70*$D$17)+(E255*$B$70*$E$17)+(F255*$B$70*$F$17)+(G255*$B$70*$G$17)+(H255*$B$70*$H$17)+(I255*$B$70*$I$17))/1000000</f>
        <v>0.69798483287287227</v>
      </c>
    </row>
    <row r="256" spans="1:10" hidden="1" outlineLevel="1" x14ac:dyDescent="0.3">
      <c r="A256" s="151" t="str">
        <f>'Inputs '!$A$6</f>
        <v>Production Lick</v>
      </c>
      <c r="B256" s="150">
        <f>'Inputs '!L6</f>
        <v>0.39</v>
      </c>
      <c r="C256" s="149"/>
      <c r="D256" s="149"/>
      <c r="E256" s="149"/>
      <c r="F256" s="149"/>
      <c r="G256" s="149"/>
      <c r="H256" s="149"/>
      <c r="I256" s="149"/>
      <c r="J256" s="566">
        <f t="shared" si="47"/>
        <v>0</v>
      </c>
    </row>
    <row r="257" spans="1:10" hidden="1" outlineLevel="1" x14ac:dyDescent="0.3">
      <c r="A257" s="151" t="str">
        <f>'Inputs '!$A$7</f>
        <v>Pen Feeding Meal</v>
      </c>
      <c r="B257" s="150">
        <f>'Inputs '!L7</f>
        <v>0.36</v>
      </c>
      <c r="C257" s="149"/>
      <c r="D257" s="149"/>
      <c r="E257" s="149"/>
      <c r="F257" s="149"/>
      <c r="G257" s="149"/>
      <c r="H257" s="149">
        <v>9000</v>
      </c>
      <c r="I257" s="149"/>
      <c r="J257" s="566">
        <f t="shared" si="47"/>
        <v>4.0862709035457394</v>
      </c>
    </row>
    <row r="258" spans="1:10" hidden="1" outlineLevel="1" x14ac:dyDescent="0.3">
      <c r="A258" s="151" t="str">
        <f>'Inputs '!$A$8</f>
        <v xml:space="preserve">Protein Cubes </v>
      </c>
      <c r="B258" s="150">
        <f>'Inputs '!L8</f>
        <v>0.57999999999999996</v>
      </c>
      <c r="C258" s="149"/>
      <c r="D258" s="149"/>
      <c r="E258" s="149"/>
      <c r="F258" s="149"/>
      <c r="G258" s="149"/>
      <c r="H258" s="149"/>
      <c r="I258" s="149"/>
      <c r="J258" s="566">
        <f t="shared" si="47"/>
        <v>0</v>
      </c>
    </row>
    <row r="259" spans="1:10" hidden="1" outlineLevel="1" x14ac:dyDescent="0.3">
      <c r="A259" s="151" t="str">
        <f>'Inputs '!$A$9</f>
        <v xml:space="preserve">Hay </v>
      </c>
      <c r="B259" s="150">
        <f>'Inputs '!L9</f>
        <v>0.2</v>
      </c>
      <c r="C259" s="149"/>
      <c r="D259" s="149"/>
      <c r="E259" s="149"/>
      <c r="F259" s="149"/>
      <c r="G259" s="149"/>
      <c r="H259" s="149"/>
      <c r="I259" s="149"/>
      <c r="J259" s="566">
        <f t="shared" si="47"/>
        <v>0</v>
      </c>
    </row>
    <row r="260" spans="1:10" hidden="1" outlineLevel="1" x14ac:dyDescent="0.3">
      <c r="A260" s="151" t="str">
        <f>'Inputs '!$A$10</f>
        <v>Chicken Litter</v>
      </c>
      <c r="B260" s="150">
        <f>'Inputs '!L10</f>
        <v>0.05</v>
      </c>
      <c r="C260" s="149"/>
      <c r="D260" s="149"/>
      <c r="E260" s="149"/>
      <c r="F260" s="149"/>
      <c r="G260" s="149"/>
      <c r="H260" s="149"/>
      <c r="I260" s="149"/>
      <c r="J260" s="566">
        <f t="shared" si="47"/>
        <v>0</v>
      </c>
    </row>
    <row r="261" spans="1:10" hidden="1" outlineLevel="1" x14ac:dyDescent="0.3">
      <c r="A261" s="151" t="str">
        <f>'Inputs '!$A$11</f>
        <v xml:space="preserve">Cotton Hulls </v>
      </c>
      <c r="B261" s="150">
        <f>'Inputs '!L11</f>
        <v>0.2</v>
      </c>
      <c r="C261" s="149"/>
      <c r="D261" s="149"/>
      <c r="E261" s="149"/>
      <c r="F261" s="149"/>
      <c r="G261" s="149"/>
      <c r="H261" s="149"/>
      <c r="I261" s="149"/>
      <c r="J261" s="566">
        <f t="shared" si="47"/>
        <v>0</v>
      </c>
    </row>
    <row r="262" spans="1:10" hidden="1" outlineLevel="1" x14ac:dyDescent="0.3">
      <c r="A262" s="151" t="str">
        <f>'Inputs '!$A$12</f>
        <v>Feed Grade Urea</v>
      </c>
      <c r="B262" s="150">
        <f>'Inputs '!L12</f>
        <v>0</v>
      </c>
      <c r="C262" s="149"/>
      <c r="D262" s="149"/>
      <c r="E262" s="149"/>
      <c r="F262" s="149"/>
      <c r="G262" s="149"/>
      <c r="H262" s="149"/>
      <c r="I262" s="149"/>
      <c r="J262" s="566">
        <f t="shared" si="47"/>
        <v>0</v>
      </c>
    </row>
    <row r="263" spans="1:10" hidden="1" outlineLevel="1" x14ac:dyDescent="0.3">
      <c r="A263" s="151" t="str">
        <f>'Inputs '!$A$13</f>
        <v>Molasses</v>
      </c>
      <c r="B263" s="150">
        <f>'Inputs '!L13</f>
        <v>0</v>
      </c>
      <c r="C263" s="149"/>
      <c r="D263" s="149"/>
      <c r="E263" s="149"/>
      <c r="F263" s="149"/>
      <c r="G263" s="149"/>
      <c r="H263" s="149"/>
      <c r="I263" s="149"/>
      <c r="J263" s="566">
        <f t="shared" si="47"/>
        <v>0</v>
      </c>
    </row>
    <row r="264" spans="1:10" hidden="1" outlineLevel="1" x14ac:dyDescent="0.3">
      <c r="A264" s="151" t="str">
        <f>'Inputs '!$A$14</f>
        <v>Salt</v>
      </c>
      <c r="B264" s="150">
        <f>'Inputs '!L14</f>
        <v>0</v>
      </c>
      <c r="C264" s="149"/>
      <c r="D264" s="149"/>
      <c r="E264" s="149"/>
      <c r="F264" s="149"/>
      <c r="G264" s="149"/>
      <c r="H264" s="149"/>
      <c r="I264" s="149"/>
      <c r="J264" s="566">
        <f t="shared" si="47"/>
        <v>0</v>
      </c>
    </row>
    <row r="265" spans="1:10" hidden="1" outlineLevel="1" x14ac:dyDescent="0.3">
      <c r="A265" s="151" t="str">
        <f>'Inputs '!$A$15</f>
        <v>-</v>
      </c>
      <c r="B265" s="150">
        <f>'Inputs '!L15</f>
        <v>0</v>
      </c>
      <c r="C265" s="149"/>
      <c r="D265" s="149"/>
      <c r="E265" s="149"/>
      <c r="F265" s="149"/>
      <c r="G265" s="149"/>
      <c r="H265" s="149"/>
      <c r="I265" s="149"/>
      <c r="J265" s="566">
        <f t="shared" si="47"/>
        <v>0</v>
      </c>
    </row>
    <row r="266" spans="1:10" hidden="1" outlineLevel="1" x14ac:dyDescent="0.3">
      <c r="A266" s="151" t="str">
        <f>'Inputs '!$A$16</f>
        <v>-</v>
      </c>
      <c r="B266" s="150">
        <f>'Inputs '!L16</f>
        <v>0</v>
      </c>
      <c r="C266" s="149"/>
      <c r="D266" s="149"/>
      <c r="E266" s="149"/>
      <c r="F266" s="149"/>
      <c r="G266" s="149"/>
      <c r="H266" s="149"/>
      <c r="I266" s="149"/>
      <c r="J266" s="566">
        <f t="shared" si="47"/>
        <v>0</v>
      </c>
    </row>
    <row r="267" spans="1:10" hidden="1" outlineLevel="1" x14ac:dyDescent="0.3">
      <c r="A267" s="151" t="str">
        <f>'Inputs '!$A$17</f>
        <v>-</v>
      </c>
      <c r="B267" s="150">
        <f>'Inputs '!L17</f>
        <v>0</v>
      </c>
      <c r="C267" s="149"/>
      <c r="D267" s="149"/>
      <c r="E267" s="149"/>
      <c r="F267" s="149"/>
      <c r="G267" s="149"/>
      <c r="H267" s="149"/>
      <c r="I267" s="149"/>
      <c r="J267" s="566">
        <f t="shared" si="47"/>
        <v>0</v>
      </c>
    </row>
    <row r="268" spans="1:10" ht="15" customHeight="1" collapsed="1" x14ac:dyDescent="0.3">
      <c r="A268" s="148" t="s">
        <v>296</v>
      </c>
      <c r="B268" s="147"/>
      <c r="C268" s="146">
        <f t="shared" ref="C268:I268" si="48">SUM($B$74*C254*$B$70+$B$75*C255*$B$70+$B$76*C256*$B$70+$B$77*C257*$B$70+$B$78*C258*$B$70+$B$79*C259*$B$70+$B$80*C260+$B$81*C261*+$B$82*C262*$B$70+$B$83*C263*$B$70+$B$84*C264*$B$70+$B$85*C265*+$B$86*C266*+$B$70+$B$87*C267*$B$70)/1000</f>
        <v>5.0839999999999996</v>
      </c>
      <c r="D268" s="146">
        <f t="shared" si="48"/>
        <v>4.7197500000000003</v>
      </c>
      <c r="E268" s="146">
        <f t="shared" si="48"/>
        <v>4.3555000000000001</v>
      </c>
      <c r="F268" s="146">
        <f t="shared" si="48"/>
        <v>3.99125</v>
      </c>
      <c r="G268" s="146">
        <f t="shared" si="48"/>
        <v>4.7197500000000003</v>
      </c>
      <c r="H268" s="146">
        <f t="shared" si="48"/>
        <v>104.43125000000001</v>
      </c>
      <c r="I268" s="146">
        <f t="shared" si="48"/>
        <v>2.8984999999999999</v>
      </c>
      <c r="J268" s="590">
        <f>SUM(J254:J267)</f>
        <v>5.3226090290939521</v>
      </c>
    </row>
    <row r="270" spans="1:10" x14ac:dyDescent="0.3">
      <c r="A270" s="157" t="s">
        <v>301</v>
      </c>
      <c r="B270" s="156">
        <v>31</v>
      </c>
      <c r="C270" s="155"/>
      <c r="D270" s="155"/>
      <c r="E270" s="155"/>
      <c r="F270" s="155"/>
      <c r="G270" s="155"/>
      <c r="H270" s="155"/>
      <c r="I270" s="155"/>
      <c r="J270" s="594"/>
    </row>
    <row r="271" spans="1:10" ht="24.6" hidden="1" outlineLevel="1" x14ac:dyDescent="0.3">
      <c r="A271" s="154" t="s">
        <v>292</v>
      </c>
      <c r="B271" s="153" t="s">
        <v>300</v>
      </c>
      <c r="C271" s="617" t="s">
        <v>299</v>
      </c>
      <c r="D271" s="617"/>
      <c r="E271" s="617"/>
      <c r="F271" s="617"/>
      <c r="G271" s="617"/>
      <c r="H271" s="617"/>
      <c r="I271" s="617"/>
      <c r="J271" s="595" t="s">
        <v>298</v>
      </c>
    </row>
    <row r="272" spans="1:10" hidden="1" outlineLevel="1" x14ac:dyDescent="0.3">
      <c r="A272" s="151" t="str">
        <f>'Inputs '!$A$4</f>
        <v xml:space="preserve">P6 Summer Lick </v>
      </c>
      <c r="B272" s="150">
        <f>'Inputs '!M4</f>
        <v>0.7</v>
      </c>
      <c r="C272" s="149">
        <v>100</v>
      </c>
      <c r="D272" s="149">
        <v>100</v>
      </c>
      <c r="E272" s="149">
        <v>100</v>
      </c>
      <c r="F272" s="149">
        <v>100</v>
      </c>
      <c r="G272" s="149">
        <v>100</v>
      </c>
      <c r="H272" s="149">
        <v>100</v>
      </c>
      <c r="I272" s="149">
        <v>100</v>
      </c>
      <c r="J272" s="566">
        <f>((C272*$B$70*$C$18)+(D272*$B$70*$D$18)+(E272*$B$70*$E$18)+(F272*$B$70*$F$18)+(G272*$B$70*$G$18)+(H272*$B$70*$H$18)+(I272*$B$70*$I$18))/1000000</f>
        <v>0.56980830198683985</v>
      </c>
    </row>
    <row r="273" spans="1:10" hidden="1" outlineLevel="1" x14ac:dyDescent="0.3">
      <c r="A273" s="151" t="str">
        <f>'Inputs '!$A$5</f>
        <v>Winter Lick</v>
      </c>
      <c r="B273" s="150">
        <f>'Inputs '!M5</f>
        <v>0.47</v>
      </c>
      <c r="C273" s="149"/>
      <c r="D273" s="149"/>
      <c r="E273" s="149"/>
      <c r="F273" s="149"/>
      <c r="G273" s="149"/>
      <c r="H273" s="149"/>
      <c r="I273" s="149"/>
      <c r="J273" s="566">
        <f t="shared" ref="J273:J285" si="49">((C273*$B$70*$C$18)+(D273*$B$70*$D$18)+(E273*$B$70*$E$18)+(F273*$B$70*$F$18)+(G273*$B$70*$G$18)+(H273*$B$70*$H$18)+(I273*$B$70*$I$18))/1000000</f>
        <v>0</v>
      </c>
    </row>
    <row r="274" spans="1:10" hidden="1" outlineLevel="1" x14ac:dyDescent="0.3">
      <c r="A274" s="151" t="str">
        <f>'Inputs '!$A$6</f>
        <v>Production Lick</v>
      </c>
      <c r="B274" s="150">
        <f>'Inputs '!M6</f>
        <v>0.39</v>
      </c>
      <c r="C274" s="149"/>
      <c r="D274" s="149"/>
      <c r="E274" s="149"/>
      <c r="F274" s="149"/>
      <c r="G274" s="149"/>
      <c r="H274" s="149"/>
      <c r="I274" s="149"/>
      <c r="J274" s="566">
        <f t="shared" si="49"/>
        <v>0</v>
      </c>
    </row>
    <row r="275" spans="1:10" hidden="1" outlineLevel="1" x14ac:dyDescent="0.3">
      <c r="A275" s="151" t="str">
        <f>'Inputs '!$A$7</f>
        <v>Pen Feeding Meal</v>
      </c>
      <c r="B275" s="150">
        <f>'Inputs '!M7</f>
        <v>0.36</v>
      </c>
      <c r="C275" s="149"/>
      <c r="D275" s="149"/>
      <c r="E275" s="149"/>
      <c r="F275" s="149"/>
      <c r="G275" s="149"/>
      <c r="H275" s="149"/>
      <c r="I275" s="149"/>
      <c r="J275" s="566">
        <f t="shared" si="49"/>
        <v>0</v>
      </c>
    </row>
    <row r="276" spans="1:10" hidden="1" outlineLevel="1" x14ac:dyDescent="0.3">
      <c r="A276" s="151" t="str">
        <f>'Inputs '!$A$8</f>
        <v xml:space="preserve">Protein Cubes </v>
      </c>
      <c r="B276" s="150">
        <f>'Inputs '!M8</f>
        <v>0.57999999999999996</v>
      </c>
      <c r="C276" s="149"/>
      <c r="D276" s="149"/>
      <c r="E276" s="149"/>
      <c r="F276" s="149"/>
      <c r="G276" s="149"/>
      <c r="H276" s="149"/>
      <c r="I276" s="149"/>
      <c r="J276" s="566">
        <f t="shared" si="49"/>
        <v>0</v>
      </c>
    </row>
    <row r="277" spans="1:10" hidden="1" outlineLevel="1" x14ac:dyDescent="0.3">
      <c r="A277" s="151" t="str">
        <f>'Inputs '!$A$9</f>
        <v xml:space="preserve">Hay </v>
      </c>
      <c r="B277" s="150">
        <f>'Inputs '!M9</f>
        <v>0.2</v>
      </c>
      <c r="C277" s="149"/>
      <c r="D277" s="149"/>
      <c r="E277" s="149"/>
      <c r="F277" s="149"/>
      <c r="G277" s="149"/>
      <c r="H277" s="149"/>
      <c r="I277" s="149"/>
      <c r="J277" s="566">
        <f t="shared" si="49"/>
        <v>0</v>
      </c>
    </row>
    <row r="278" spans="1:10" hidden="1" outlineLevel="1" x14ac:dyDescent="0.3">
      <c r="A278" s="151" t="str">
        <f>'Inputs '!$A$10</f>
        <v>Chicken Litter</v>
      </c>
      <c r="B278" s="150">
        <f>'Inputs '!M10</f>
        <v>0.05</v>
      </c>
      <c r="C278" s="149"/>
      <c r="D278" s="149"/>
      <c r="E278" s="149"/>
      <c r="F278" s="149"/>
      <c r="G278" s="149"/>
      <c r="H278" s="149"/>
      <c r="I278" s="149"/>
      <c r="J278" s="566">
        <f t="shared" si="49"/>
        <v>0</v>
      </c>
    </row>
    <row r="279" spans="1:10" hidden="1" outlineLevel="1" x14ac:dyDescent="0.3">
      <c r="A279" s="151" t="str">
        <f>'Inputs '!$A$11</f>
        <v xml:space="preserve">Cotton Hulls </v>
      </c>
      <c r="B279" s="150">
        <f>'Inputs '!M11</f>
        <v>0.2</v>
      </c>
      <c r="C279" s="149"/>
      <c r="D279" s="149"/>
      <c r="E279" s="149"/>
      <c r="F279" s="149"/>
      <c r="G279" s="149"/>
      <c r="H279" s="149"/>
      <c r="I279" s="149"/>
      <c r="J279" s="566">
        <f t="shared" si="49"/>
        <v>0</v>
      </c>
    </row>
    <row r="280" spans="1:10" hidden="1" outlineLevel="1" x14ac:dyDescent="0.3">
      <c r="A280" s="151" t="str">
        <f>'Inputs '!$A$12</f>
        <v>Feed Grade Urea</v>
      </c>
      <c r="B280" s="150">
        <f>'Inputs '!M12</f>
        <v>0</v>
      </c>
      <c r="C280" s="149"/>
      <c r="D280" s="149"/>
      <c r="E280" s="149"/>
      <c r="F280" s="149"/>
      <c r="G280" s="149"/>
      <c r="H280" s="149"/>
      <c r="I280" s="149"/>
      <c r="J280" s="566">
        <f t="shared" si="49"/>
        <v>0</v>
      </c>
    </row>
    <row r="281" spans="1:10" hidden="1" outlineLevel="1" x14ac:dyDescent="0.3">
      <c r="A281" s="151" t="str">
        <f>'Inputs '!$A$13</f>
        <v>Molasses</v>
      </c>
      <c r="B281" s="150">
        <f>'Inputs '!M13</f>
        <v>0</v>
      </c>
      <c r="C281" s="149"/>
      <c r="D281" s="149"/>
      <c r="E281" s="149"/>
      <c r="F281" s="149"/>
      <c r="G281" s="149"/>
      <c r="H281" s="149"/>
      <c r="I281" s="149"/>
      <c r="J281" s="566">
        <f t="shared" si="49"/>
        <v>0</v>
      </c>
    </row>
    <row r="282" spans="1:10" hidden="1" outlineLevel="1" x14ac:dyDescent="0.3">
      <c r="A282" s="151" t="str">
        <f>'Inputs '!$A$14</f>
        <v>Salt</v>
      </c>
      <c r="B282" s="150">
        <f>'Inputs '!M14</f>
        <v>0</v>
      </c>
      <c r="C282" s="149"/>
      <c r="D282" s="149"/>
      <c r="E282" s="149"/>
      <c r="F282" s="149"/>
      <c r="G282" s="149"/>
      <c r="H282" s="149"/>
      <c r="I282" s="149"/>
      <c r="J282" s="566">
        <f t="shared" si="49"/>
        <v>0</v>
      </c>
    </row>
    <row r="283" spans="1:10" hidden="1" outlineLevel="1" x14ac:dyDescent="0.3">
      <c r="A283" s="151" t="str">
        <f>'Inputs '!$A$15</f>
        <v>-</v>
      </c>
      <c r="B283" s="150">
        <f>'Inputs '!M15</f>
        <v>0</v>
      </c>
      <c r="C283" s="149"/>
      <c r="D283" s="149"/>
      <c r="E283" s="149"/>
      <c r="F283" s="149"/>
      <c r="G283" s="149"/>
      <c r="H283" s="149"/>
      <c r="I283" s="149"/>
      <c r="J283" s="566">
        <f t="shared" si="49"/>
        <v>0</v>
      </c>
    </row>
    <row r="284" spans="1:10" hidden="1" outlineLevel="1" x14ac:dyDescent="0.3">
      <c r="A284" s="151" t="str">
        <f>'Inputs '!$A$16</f>
        <v>-</v>
      </c>
      <c r="B284" s="150">
        <f>'Inputs '!M16</f>
        <v>0</v>
      </c>
      <c r="C284" s="149"/>
      <c r="D284" s="149"/>
      <c r="E284" s="149"/>
      <c r="F284" s="149"/>
      <c r="G284" s="149"/>
      <c r="H284" s="149"/>
      <c r="I284" s="149"/>
      <c r="J284" s="566">
        <f t="shared" si="49"/>
        <v>0</v>
      </c>
    </row>
    <row r="285" spans="1:10" hidden="1" outlineLevel="1" x14ac:dyDescent="0.3">
      <c r="A285" s="151" t="str">
        <f>'Inputs '!$A$17</f>
        <v>-</v>
      </c>
      <c r="B285" s="150">
        <f>'Inputs '!M17</f>
        <v>0</v>
      </c>
      <c r="C285" s="149"/>
      <c r="D285" s="149"/>
      <c r="E285" s="149"/>
      <c r="F285" s="149"/>
      <c r="G285" s="149"/>
      <c r="H285" s="149"/>
      <c r="I285" s="149"/>
      <c r="J285" s="566">
        <f t="shared" si="49"/>
        <v>0</v>
      </c>
    </row>
    <row r="286" spans="1:10" ht="15" customHeight="1" collapsed="1" x14ac:dyDescent="0.3">
      <c r="A286" s="148" t="s">
        <v>296</v>
      </c>
      <c r="B286" s="147"/>
      <c r="C286" s="146">
        <f t="shared" ref="C286:I286" si="50">SUM($B$74*C272*$B$70+$B$75*C273*$B$70+$B$76*C274*$B$70+$B$77*C275*$B$70+$B$78*C276*$B$70+$B$79*C277*$B$70+$B$80*C278+$B$81*C279*+$B$82*C280*$B$70+$B$83*C281*$B$70+$B$84*C282*$B$70+$B$85*C283*+$B$86*C284*+$B$70+$B$87*C285*$B$70)/1000</f>
        <v>2.17</v>
      </c>
      <c r="D286" s="146">
        <f t="shared" si="50"/>
        <v>2.17</v>
      </c>
      <c r="E286" s="146">
        <f t="shared" si="50"/>
        <v>2.17</v>
      </c>
      <c r="F286" s="146">
        <f t="shared" si="50"/>
        <v>2.17</v>
      </c>
      <c r="G286" s="146">
        <f t="shared" si="50"/>
        <v>2.17</v>
      </c>
      <c r="H286" s="146">
        <f t="shared" si="50"/>
        <v>2.17</v>
      </c>
      <c r="I286" s="146">
        <f t="shared" si="50"/>
        <v>2.17</v>
      </c>
      <c r="J286" s="590">
        <f>SUM(J272:J285)</f>
        <v>0.56980830198683985</v>
      </c>
    </row>
    <row r="287" spans="1:10" ht="15" thickBot="1" x14ac:dyDescent="0.35"/>
    <row r="288" spans="1:10" ht="15" thickBot="1" x14ac:dyDescent="0.35">
      <c r="A288" s="300" t="s">
        <v>295</v>
      </c>
      <c r="B288" s="301"/>
      <c r="C288" s="302">
        <f t="shared" ref="C288:I288" si="51">SUM(C88+C106+C124+C142+C160+C178+C196+C214+C232+C250+C268+C286)</f>
        <v>50.158000000000001</v>
      </c>
      <c r="D288" s="303">
        <f t="shared" si="51"/>
        <v>45.131349999999998</v>
      </c>
      <c r="E288" s="303">
        <f t="shared" si="51"/>
        <v>40.97890000000001</v>
      </c>
      <c r="F288" s="303">
        <f t="shared" si="51"/>
        <v>35.952249999999999</v>
      </c>
      <c r="G288" s="303">
        <f t="shared" si="51"/>
        <v>44.257149999999996</v>
      </c>
      <c r="H288" s="303">
        <f t="shared" si="51"/>
        <v>292.63225000000006</v>
      </c>
      <c r="I288" s="304">
        <f t="shared" si="51"/>
        <v>28.1449</v>
      </c>
    </row>
    <row r="289" spans="10:10" ht="15" thickBot="1" x14ac:dyDescent="0.35"/>
    <row r="290" spans="10:10" ht="16.2" thickBot="1" x14ac:dyDescent="0.35">
      <c r="J290" s="599">
        <f>SUM($J$88+$J$106+$J$124+$J$142+$J$160+$J$178+$J$196+$J$214+$J$232+$J$250+$J$268+$J$286)</f>
        <v>26.676693300487166</v>
      </c>
    </row>
  </sheetData>
  <mergeCells count="23">
    <mergeCell ref="A2:J2"/>
    <mergeCell ref="C71:I71"/>
    <mergeCell ref="E4:F4"/>
    <mergeCell ref="G4:H4"/>
    <mergeCell ref="E28:F28"/>
    <mergeCell ref="G28:H28"/>
    <mergeCell ref="A3:J3"/>
    <mergeCell ref="A27:J27"/>
    <mergeCell ref="A68:J68"/>
    <mergeCell ref="A44:J44"/>
    <mergeCell ref="C91:I91"/>
    <mergeCell ref="E72:F72"/>
    <mergeCell ref="G72:H72"/>
    <mergeCell ref="C253:I253"/>
    <mergeCell ref="C271:I271"/>
    <mergeCell ref="C109:I109"/>
    <mergeCell ref="C127:I127"/>
    <mergeCell ref="C145:I145"/>
    <mergeCell ref="C163:I163"/>
    <mergeCell ref="C181:I181"/>
    <mergeCell ref="C199:I199"/>
    <mergeCell ref="C217:I217"/>
    <mergeCell ref="C235:I235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2:S355"/>
  <sheetViews>
    <sheetView topLeftCell="A19" workbookViewId="0">
      <selection activeCell="F125" sqref="F125"/>
    </sheetView>
  </sheetViews>
  <sheetFormatPr defaultColWidth="9.21875" defaultRowHeight="14.4" outlineLevelRow="1" outlineLevelCol="1" x14ac:dyDescent="0.3"/>
  <cols>
    <col min="1" max="1" width="22.77734375" customWidth="1"/>
    <col min="2" max="2" width="7" customWidth="1"/>
    <col min="3" max="7" width="10.44140625" customWidth="1"/>
    <col min="8" max="8" width="11.21875" customWidth="1"/>
    <col min="9" max="9" width="10.44140625" customWidth="1"/>
    <col min="10" max="10" width="13.77734375" bestFit="1" customWidth="1"/>
    <col min="11" max="12" width="10.44140625" customWidth="1"/>
    <col min="13" max="13" width="9" customWidth="1" outlineLevel="1"/>
    <col min="14" max="18" width="3.77734375" hidden="1" customWidth="1" outlineLevel="1"/>
    <col min="19" max="16384" width="9.21875" style="145"/>
  </cols>
  <sheetData>
    <row r="2" spans="1:18" ht="40.049999999999997" customHeight="1" x14ac:dyDescent="0.3">
      <c r="A2" s="619" t="s">
        <v>730</v>
      </c>
      <c r="B2" s="619"/>
      <c r="C2" s="619"/>
      <c r="D2" s="619"/>
      <c r="E2" s="619"/>
      <c r="F2" s="619"/>
      <c r="G2" s="619"/>
      <c r="H2" s="619"/>
      <c r="I2" s="619"/>
      <c r="J2" s="619"/>
      <c r="K2" s="299"/>
      <c r="L2" s="299"/>
      <c r="M2" s="299"/>
      <c r="N2" s="299"/>
      <c r="O2" s="299"/>
      <c r="P2" s="299"/>
      <c r="Q2" s="299"/>
      <c r="R2" s="299"/>
    </row>
    <row r="3" spans="1:18" ht="40.049999999999997" customHeight="1" thickBot="1" x14ac:dyDescent="0.35">
      <c r="A3" s="620" t="s">
        <v>731</v>
      </c>
      <c r="B3" s="620"/>
      <c r="C3" s="620"/>
      <c r="D3" s="620"/>
      <c r="E3" s="620"/>
      <c r="F3" s="620"/>
      <c r="G3" s="620"/>
      <c r="H3" s="620"/>
      <c r="I3" s="620"/>
      <c r="J3" s="620"/>
      <c r="K3" s="270"/>
      <c r="L3" s="145"/>
      <c r="M3" s="145"/>
      <c r="N3" s="145"/>
      <c r="O3" s="145"/>
      <c r="P3" s="145"/>
      <c r="Q3" s="145"/>
      <c r="R3" s="145"/>
    </row>
    <row r="4" spans="1:18" ht="11.55" customHeight="1" x14ac:dyDescent="0.3">
      <c r="A4" s="158"/>
      <c r="B4" s="158"/>
      <c r="C4" s="269" t="s">
        <v>291</v>
      </c>
      <c r="D4" s="140" t="s">
        <v>290</v>
      </c>
      <c r="E4" s="613" t="s">
        <v>289</v>
      </c>
      <c r="F4" s="614"/>
      <c r="G4" s="615" t="s">
        <v>288</v>
      </c>
      <c r="H4" s="616"/>
      <c r="I4" s="139" t="s">
        <v>287</v>
      </c>
      <c r="J4" s="138" t="s">
        <v>19</v>
      </c>
      <c r="K4" s="145"/>
      <c r="L4" s="145"/>
      <c r="M4" s="145"/>
      <c r="N4" s="145"/>
      <c r="O4" s="145"/>
      <c r="P4" s="145"/>
      <c r="Q4" s="145"/>
      <c r="R4" s="145"/>
    </row>
    <row r="5" spans="1:18" ht="40.049999999999997" customHeight="1" thickBot="1" x14ac:dyDescent="0.35">
      <c r="A5" s="201" t="s">
        <v>324</v>
      </c>
      <c r="B5" s="158"/>
      <c r="C5" s="166" t="s">
        <v>336</v>
      </c>
      <c r="D5" s="165" t="s">
        <v>285</v>
      </c>
      <c r="E5" s="164" t="s">
        <v>284</v>
      </c>
      <c r="F5" s="164" t="s">
        <v>283</v>
      </c>
      <c r="G5" s="163" t="s">
        <v>282</v>
      </c>
      <c r="H5" s="163" t="s">
        <v>281</v>
      </c>
      <c r="I5" s="162" t="s">
        <v>280</v>
      </c>
      <c r="J5" s="229" t="s">
        <v>328</v>
      </c>
      <c r="K5" s="145"/>
      <c r="L5" s="145"/>
      <c r="M5" s="145"/>
      <c r="N5" s="145"/>
      <c r="O5" s="145"/>
      <c r="P5" s="145"/>
      <c r="Q5" s="145"/>
      <c r="R5" s="145"/>
    </row>
    <row r="6" spans="1:18" ht="11.55" customHeight="1" thickBot="1" x14ac:dyDescent="0.35">
      <c r="A6" s="228" t="s">
        <v>725</v>
      </c>
      <c r="B6" s="227"/>
      <c r="C6" s="226">
        <f>SUM('Stock Numbers'!C6)</f>
        <v>4</v>
      </c>
      <c r="D6" s="226">
        <f>SUM('Stock Numbers'!D6)</f>
        <v>100</v>
      </c>
      <c r="E6" s="226">
        <f>SUM('Stock Numbers'!E6)</f>
        <v>0</v>
      </c>
      <c r="F6" s="226">
        <f>SUM('Stock Numbers'!F6)</f>
        <v>0</v>
      </c>
      <c r="G6" s="226">
        <f>SUM('Stock Numbers'!G6)</f>
        <v>0</v>
      </c>
      <c r="H6" s="226">
        <f>SUM('Stock Numbers'!H6)</f>
        <v>0</v>
      </c>
      <c r="I6" s="226">
        <f>SUM('Stock Numbers'!I6)</f>
        <v>75</v>
      </c>
      <c r="J6" s="226">
        <f>SUM('Stock Numbers'!J6)</f>
        <v>179</v>
      </c>
      <c r="K6" s="145"/>
      <c r="L6" s="145"/>
      <c r="M6" s="145"/>
      <c r="N6" s="145"/>
      <c r="O6" s="145"/>
      <c r="P6" s="145"/>
      <c r="Q6" s="145"/>
      <c r="R6" s="145"/>
    </row>
    <row r="7" spans="1:18" ht="11.55" customHeight="1" x14ac:dyDescent="0.3">
      <c r="A7" s="186">
        <v>46023</v>
      </c>
      <c r="B7" s="185"/>
      <c r="C7" s="225">
        <f>SUM('Stock Numbers'!C20)</f>
        <v>3.99</v>
      </c>
      <c r="D7" s="225">
        <f>SUM('Stock Numbers'!D20)</f>
        <v>99.75</v>
      </c>
      <c r="E7" s="225">
        <f>SUM('Stock Numbers'!E20)</f>
        <v>0</v>
      </c>
      <c r="F7" s="225">
        <f>SUM('Stock Numbers'!F20)</f>
        <v>0</v>
      </c>
      <c r="G7" s="225">
        <f>SUM('Stock Numbers'!G20)</f>
        <v>0</v>
      </c>
      <c r="H7" s="225">
        <f>SUM('Stock Numbers'!H20)</f>
        <v>0</v>
      </c>
      <c r="I7" s="225">
        <f>SUM('Stock Numbers'!I20)</f>
        <v>74.8125</v>
      </c>
      <c r="J7" s="225">
        <f>SUM('Stock Numbers'!J20)</f>
        <v>178.55250000000001</v>
      </c>
      <c r="K7" s="145"/>
      <c r="L7" s="145"/>
      <c r="M7" s="145"/>
      <c r="N7" s="145"/>
      <c r="O7" s="145"/>
      <c r="P7" s="145"/>
      <c r="Q7" s="145"/>
      <c r="R7" s="145"/>
    </row>
    <row r="8" spans="1:18" ht="11.55" customHeight="1" x14ac:dyDescent="0.3">
      <c r="A8" s="186">
        <f>EOMONTH(A7,0)+1</f>
        <v>46054</v>
      </c>
      <c r="B8" s="185"/>
      <c r="C8" s="225">
        <f>SUM('Stock Numbers'!C37)</f>
        <v>3.9800250000000004</v>
      </c>
      <c r="D8" s="225">
        <f>SUM('Stock Numbers'!D37)</f>
        <v>99.500624999999999</v>
      </c>
      <c r="E8" s="225">
        <f>SUM('Stock Numbers'!E37)</f>
        <v>0</v>
      </c>
      <c r="F8" s="225">
        <f>SUM('Stock Numbers'!F37)</f>
        <v>0</v>
      </c>
      <c r="G8" s="225">
        <f>SUM('Stock Numbers'!G37)</f>
        <v>0</v>
      </c>
      <c r="H8" s="225">
        <f>SUM('Stock Numbers'!H37)</f>
        <v>0</v>
      </c>
      <c r="I8" s="225">
        <f>SUM('Stock Numbers'!I37)</f>
        <v>74.625468749999996</v>
      </c>
      <c r="J8" s="225">
        <f>SUM('Stock Numbers'!J37)</f>
        <v>178.10611875000001</v>
      </c>
      <c r="K8" s="145"/>
      <c r="L8" s="145"/>
      <c r="M8" s="145"/>
      <c r="N8" s="145"/>
      <c r="O8" s="145"/>
      <c r="P8" s="145"/>
      <c r="Q8" s="145"/>
      <c r="R8" s="145"/>
    </row>
    <row r="9" spans="1:18" ht="11.55" customHeight="1" x14ac:dyDescent="0.3">
      <c r="A9" s="186">
        <f t="shared" ref="A9:A18" si="0">EOMONTH(A8,0)+1</f>
        <v>46082</v>
      </c>
      <c r="B9" s="185"/>
      <c r="C9" s="225">
        <f>SUM('Stock Numbers'!C54)</f>
        <v>3.9700749375000002</v>
      </c>
      <c r="D9" s="225">
        <f>SUM('Stock Numbers'!D54)</f>
        <v>99.251873437499995</v>
      </c>
      <c r="E9" s="225">
        <f>SUM('Stock Numbers'!E54)</f>
        <v>0</v>
      </c>
      <c r="F9" s="225">
        <f>SUM('Stock Numbers'!F54)</f>
        <v>0</v>
      </c>
      <c r="G9" s="225">
        <f>SUM('Stock Numbers'!G54)</f>
        <v>0</v>
      </c>
      <c r="H9" s="225">
        <f>SUM('Stock Numbers'!H54)</f>
        <v>0</v>
      </c>
      <c r="I9" s="225">
        <f>SUM('Stock Numbers'!I54)</f>
        <v>74.438905078124989</v>
      </c>
      <c r="J9" s="225">
        <f>SUM('Stock Numbers'!J54)</f>
        <v>177.66085345312499</v>
      </c>
      <c r="K9" s="145"/>
      <c r="L9" s="145"/>
      <c r="M9" s="145"/>
      <c r="N9" s="145"/>
      <c r="O9" s="145"/>
      <c r="P9" s="145"/>
      <c r="Q9" s="145"/>
      <c r="R9" s="145"/>
    </row>
    <row r="10" spans="1:18" ht="11.55" customHeight="1" x14ac:dyDescent="0.3">
      <c r="A10" s="186">
        <f t="shared" si="0"/>
        <v>46113</v>
      </c>
      <c r="B10" s="185"/>
      <c r="C10" s="225">
        <f>SUM('Stock Numbers'!C71)</f>
        <v>3.9601497501562504</v>
      </c>
      <c r="D10" s="225">
        <f>SUM('Stock Numbers'!D71)</f>
        <v>99.003743753906249</v>
      </c>
      <c r="E10" s="225">
        <f>SUM('Stock Numbers'!E71)</f>
        <v>0</v>
      </c>
      <c r="F10" s="225">
        <f>SUM('Stock Numbers'!F71)</f>
        <v>0</v>
      </c>
      <c r="G10" s="225">
        <f>SUM('Stock Numbers'!G71)</f>
        <v>0</v>
      </c>
      <c r="H10" s="225">
        <f>SUM('Stock Numbers'!H71)</f>
        <v>0</v>
      </c>
      <c r="I10" s="225">
        <f>SUM('Stock Numbers'!I71)</f>
        <v>74.252807815429676</v>
      </c>
      <c r="J10" s="225">
        <f>SUM('Stock Numbers'!J71)</f>
        <v>177.21670131949219</v>
      </c>
      <c r="K10" s="145"/>
      <c r="L10" s="145"/>
      <c r="M10" s="145"/>
      <c r="N10" s="145"/>
      <c r="O10" s="145"/>
      <c r="P10" s="145"/>
      <c r="Q10" s="145"/>
      <c r="R10" s="145"/>
    </row>
    <row r="11" spans="1:18" ht="11.55" customHeight="1" x14ac:dyDescent="0.3">
      <c r="A11" s="186">
        <f t="shared" si="0"/>
        <v>46143</v>
      </c>
      <c r="B11" s="185"/>
      <c r="C11" s="225">
        <f>SUM('Stock Numbers'!C88)</f>
        <v>3.9502493757808597</v>
      </c>
      <c r="D11" s="225">
        <f>SUM('Stock Numbers'!D88)</f>
        <v>86.756234394521485</v>
      </c>
      <c r="E11" s="225">
        <f>SUM('Stock Numbers'!E88)</f>
        <v>0</v>
      </c>
      <c r="F11" s="225">
        <f>SUM('Stock Numbers'!F88)</f>
        <v>0</v>
      </c>
      <c r="G11" s="225">
        <f>SUM('Stock Numbers'!G88)</f>
        <v>0</v>
      </c>
      <c r="H11" s="225">
        <f>SUM('Stock Numbers'!H88)</f>
        <v>0</v>
      </c>
      <c r="I11" s="225">
        <f>SUM('Stock Numbers'!I88)</f>
        <v>74.067175795891103</v>
      </c>
      <c r="J11" s="225">
        <f>SUM('Stock Numbers'!J88)</f>
        <v>164.77365956619343</v>
      </c>
      <c r="K11" s="145"/>
      <c r="L11" s="145"/>
      <c r="M11" s="145"/>
      <c r="N11" s="145"/>
      <c r="O11" s="145"/>
      <c r="P11" s="145"/>
      <c r="Q11" s="145"/>
      <c r="R11" s="145"/>
    </row>
    <row r="12" spans="1:18" ht="11.55" customHeight="1" x14ac:dyDescent="0.3">
      <c r="A12" s="186">
        <f t="shared" si="0"/>
        <v>46174</v>
      </c>
      <c r="B12" s="185"/>
      <c r="C12" s="225">
        <f>SUM('Stock Numbers'!C105)</f>
        <v>3.9403737523414075</v>
      </c>
      <c r="D12" s="225">
        <f>SUM('Stock Numbers'!D105)</f>
        <v>86.539343808535179</v>
      </c>
      <c r="E12" s="225">
        <f>SUM('Stock Numbers'!E105)</f>
        <v>0</v>
      </c>
      <c r="F12" s="225">
        <f>SUM('Stock Numbers'!F105)</f>
        <v>0</v>
      </c>
      <c r="G12" s="225">
        <f>SUM('Stock Numbers'!G105)</f>
        <v>0</v>
      </c>
      <c r="H12" s="225">
        <f>SUM('Stock Numbers'!H105)</f>
        <v>0</v>
      </c>
      <c r="I12" s="225">
        <f>SUM('Stock Numbers'!I105)</f>
        <v>73.882007856401373</v>
      </c>
      <c r="J12" s="225">
        <f>SUM('Stock Numbers'!J105)</f>
        <v>164.36172541727797</v>
      </c>
      <c r="K12" s="145"/>
      <c r="L12" s="145"/>
      <c r="M12" s="145"/>
      <c r="N12" s="145"/>
      <c r="O12" s="145"/>
      <c r="P12" s="145"/>
      <c r="Q12" s="145"/>
      <c r="R12" s="145"/>
    </row>
    <row r="13" spans="1:18" ht="11.55" customHeight="1" x14ac:dyDescent="0.3">
      <c r="A13" s="186">
        <f t="shared" si="0"/>
        <v>46204</v>
      </c>
      <c r="B13" s="185"/>
      <c r="C13" s="225">
        <f>SUM('Stock Numbers'!C122)</f>
        <v>3.9305228179605538</v>
      </c>
      <c r="D13" s="225">
        <f>SUM('Stock Numbers'!D122)</f>
        <v>86.322995449013845</v>
      </c>
      <c r="E13" s="225">
        <f>SUM('Stock Numbers'!E122)</f>
        <v>0</v>
      </c>
      <c r="F13" s="225">
        <f>SUM('Stock Numbers'!F122)</f>
        <v>36.848651418380186</v>
      </c>
      <c r="G13" s="225">
        <f>SUM('Stock Numbers'!G122)</f>
        <v>0</v>
      </c>
      <c r="H13" s="225">
        <f>SUM('Stock Numbers'!H122)</f>
        <v>36.848651418380186</v>
      </c>
      <c r="I13" s="225">
        <f>SUM('Stock Numbers'!I122)</f>
        <v>0</v>
      </c>
      <c r="J13" s="225">
        <f>SUM('Stock Numbers'!J122)</f>
        <v>163.95082110373477</v>
      </c>
      <c r="K13" s="145"/>
      <c r="L13" s="145"/>
      <c r="M13" s="145"/>
      <c r="N13" s="145"/>
      <c r="O13" s="145"/>
      <c r="P13" s="145"/>
      <c r="Q13" s="145"/>
      <c r="R13" s="145"/>
    </row>
    <row r="14" spans="1:18" ht="11.55" customHeight="1" x14ac:dyDescent="0.3">
      <c r="A14" s="186">
        <f t="shared" si="0"/>
        <v>46235</v>
      </c>
      <c r="B14" s="185"/>
      <c r="C14" s="225">
        <f>SUM('Stock Numbers'!C139)</f>
        <v>3.9206965109156524</v>
      </c>
      <c r="D14" s="225">
        <f>SUM('Stock Numbers'!D139)</f>
        <v>86.107187960391315</v>
      </c>
      <c r="E14" s="225">
        <f>SUM('Stock Numbers'!E139)</f>
        <v>0</v>
      </c>
      <c r="F14" s="225">
        <f>SUM('Stock Numbers'!F139)</f>
        <v>36.756529789834232</v>
      </c>
      <c r="G14" s="225">
        <f>SUM('Stock Numbers'!G139)</f>
        <v>0</v>
      </c>
      <c r="H14" s="225">
        <f>SUM('Stock Numbers'!H139)</f>
        <v>14.756529789834232</v>
      </c>
      <c r="I14" s="225">
        <f>SUM('Stock Numbers'!I139)</f>
        <v>0</v>
      </c>
      <c r="J14" s="225">
        <f>SUM('Stock Numbers'!J139)</f>
        <v>141.54094405097544</v>
      </c>
      <c r="K14" s="145"/>
      <c r="L14" s="145"/>
      <c r="M14" s="145"/>
      <c r="N14" s="145"/>
      <c r="O14" s="145"/>
      <c r="P14" s="145"/>
      <c r="Q14" s="145"/>
      <c r="R14" s="145"/>
    </row>
    <row r="15" spans="1:18" ht="11.55" customHeight="1" x14ac:dyDescent="0.3">
      <c r="A15" s="186">
        <f t="shared" si="0"/>
        <v>46266</v>
      </c>
      <c r="B15" s="185"/>
      <c r="C15" s="225">
        <f>SUM('Stock Numbers'!C156)</f>
        <v>2.9108947696383631</v>
      </c>
      <c r="D15" s="225">
        <f>SUM('Stock Numbers'!D156)</f>
        <v>85.891919990490337</v>
      </c>
      <c r="E15" s="225">
        <f>SUM('Stock Numbers'!E156)</f>
        <v>0</v>
      </c>
      <c r="F15" s="225">
        <f>SUM('Stock Numbers'!F156)</f>
        <v>21.664638465359644</v>
      </c>
      <c r="G15" s="225">
        <f>SUM('Stock Numbers'!G156)</f>
        <v>0</v>
      </c>
      <c r="H15" s="225">
        <f>SUM('Stock Numbers'!H156)</f>
        <v>14.719638465359647</v>
      </c>
      <c r="I15" s="225">
        <f>SUM('Stock Numbers'!I156)</f>
        <v>0</v>
      </c>
      <c r="J15" s="225">
        <f>SUM('Stock Numbers'!J156)</f>
        <v>125.18709169084799</v>
      </c>
      <c r="K15" s="145"/>
      <c r="L15" s="145"/>
      <c r="M15" s="145"/>
      <c r="N15" s="145"/>
      <c r="O15" s="145"/>
      <c r="P15" s="145"/>
      <c r="Q15" s="145"/>
      <c r="R15" s="145"/>
    </row>
    <row r="16" spans="1:18" ht="11.55" customHeight="1" x14ac:dyDescent="0.3">
      <c r="A16" s="186">
        <f t="shared" si="0"/>
        <v>46296</v>
      </c>
      <c r="B16" s="185"/>
      <c r="C16" s="225">
        <f>SUM('Stock Numbers'!C173)</f>
        <v>2.903617532714267</v>
      </c>
      <c r="D16" s="225">
        <f>SUM('Stock Numbers'!D173)</f>
        <v>85.677190190514111</v>
      </c>
      <c r="E16" s="225">
        <f>SUM('Stock Numbers'!E173)</f>
        <v>0</v>
      </c>
      <c r="F16" s="225">
        <f>SUM('Stock Numbers'!F173)</f>
        <v>21.610476869196244</v>
      </c>
      <c r="G16" s="225">
        <f>SUM('Stock Numbers'!G173)</f>
        <v>0</v>
      </c>
      <c r="H16" s="225">
        <f>SUM('Stock Numbers'!H173)</f>
        <v>14.682839369196248</v>
      </c>
      <c r="I16" s="225">
        <f>SUM('Stock Numbers'!I173)</f>
        <v>24.580933078447753</v>
      </c>
      <c r="J16" s="225">
        <f>SUM('Stock Numbers'!J173)</f>
        <v>149.45505704006862</v>
      </c>
      <c r="K16" s="145"/>
      <c r="L16" s="145"/>
      <c r="M16" s="145"/>
      <c r="N16" s="145"/>
      <c r="O16" s="145"/>
      <c r="P16" s="145"/>
      <c r="Q16" s="145"/>
      <c r="R16" s="145"/>
    </row>
    <row r="17" spans="1:18" ht="11.55" customHeight="1" x14ac:dyDescent="0.3">
      <c r="A17" s="186">
        <f t="shared" si="0"/>
        <v>46327</v>
      </c>
      <c r="B17" s="185"/>
      <c r="C17" s="225">
        <f>SUM('Stock Numbers'!C190)</f>
        <v>2.8963584888824814</v>
      </c>
      <c r="D17" s="225">
        <f>SUM('Stock Numbers'!D190)</f>
        <v>85.462997215037831</v>
      </c>
      <c r="E17" s="225">
        <f>SUM('Stock Numbers'!E190)</f>
        <v>0</v>
      </c>
      <c r="F17" s="225">
        <f>SUM('Stock Numbers'!F190)</f>
        <v>21.556450677023253</v>
      </c>
      <c r="G17" s="225">
        <f>SUM('Stock Numbers'!G190)</f>
        <v>0</v>
      </c>
      <c r="H17" s="225">
        <f>SUM('Stock Numbers'!H190)</f>
        <v>14.646132270773258</v>
      </c>
      <c r="I17" s="225">
        <f>SUM('Stock Numbers'!I190)</f>
        <v>49.100413824199386</v>
      </c>
      <c r="J17" s="225">
        <f>SUM('Stock Numbers'!J190)</f>
        <v>173.66235247591621</v>
      </c>
      <c r="K17" s="145"/>
      <c r="L17" s="145"/>
      <c r="M17" s="145"/>
      <c r="N17" s="145"/>
      <c r="O17" s="145"/>
      <c r="P17" s="145"/>
      <c r="Q17" s="145"/>
      <c r="R17" s="145"/>
    </row>
    <row r="18" spans="1:18" ht="11.55" customHeight="1" thickBot="1" x14ac:dyDescent="0.35">
      <c r="A18" s="186">
        <f t="shared" si="0"/>
        <v>46357</v>
      </c>
      <c r="B18" s="185"/>
      <c r="C18" s="225">
        <f>SUM('Stock Numbers'!C207)</f>
        <v>2.8891175926602752</v>
      </c>
      <c r="D18" s="225">
        <f>SUM('Stock Numbers'!D207)</f>
        <v>85.249339722000229</v>
      </c>
      <c r="E18" s="225">
        <f>SUM('Stock Numbers'!E207)</f>
        <v>0</v>
      </c>
      <c r="F18" s="225">
        <f>SUM('Stock Numbers'!F207)</f>
        <v>21.502559550330695</v>
      </c>
      <c r="G18" s="225">
        <f>SUM('Stock Numbers'!G207)</f>
        <v>0</v>
      </c>
      <c r="H18" s="225">
        <f>SUM('Stock Numbers'!H207)</f>
        <v>0.6095169400963254</v>
      </c>
      <c r="I18" s="225">
        <f>SUM('Stock Numbers'!I207)</f>
        <v>73.558595868086641</v>
      </c>
      <c r="J18" s="225">
        <f>SUM('Stock Numbers'!J207)</f>
        <v>183.80912967317417</v>
      </c>
      <c r="K18" s="145"/>
      <c r="L18" s="145"/>
      <c r="M18" s="145"/>
      <c r="N18" s="145"/>
      <c r="O18" s="145"/>
      <c r="P18" s="145"/>
      <c r="Q18" s="145"/>
      <c r="R18" s="145"/>
    </row>
    <row r="19" spans="1:18" ht="11.55" customHeight="1" thickBot="1" x14ac:dyDescent="0.35">
      <c r="A19" s="224" t="s">
        <v>737</v>
      </c>
      <c r="B19" s="223"/>
      <c r="C19" s="222">
        <f>SUM('Stock Numbers'!C224)</f>
        <v>3</v>
      </c>
      <c r="D19" s="222">
        <f>SUM('Stock Numbers'!D224)</f>
        <v>86</v>
      </c>
      <c r="E19" s="222">
        <f>SUM('Stock Numbers'!E224)</f>
        <v>0</v>
      </c>
      <c r="F19" s="222">
        <f>SUM('Stock Numbers'!F224)</f>
        <v>22</v>
      </c>
      <c r="G19" s="222">
        <f>SUM('Stock Numbers'!G224)</f>
        <v>0</v>
      </c>
      <c r="H19" s="222">
        <f>SUM('Stock Numbers'!H224)</f>
        <v>1</v>
      </c>
      <c r="I19" s="222">
        <f>SUM('Stock Numbers'!I224)</f>
        <v>74</v>
      </c>
      <c r="J19" s="222">
        <f>SUM('Stock Numbers'!J224)</f>
        <v>186</v>
      </c>
      <c r="K19" s="145"/>
      <c r="L19" s="145"/>
      <c r="M19" s="145"/>
      <c r="N19" s="145"/>
      <c r="O19" s="145"/>
      <c r="P19" s="145"/>
      <c r="Q19" s="145"/>
      <c r="R19" s="145"/>
    </row>
    <row r="20" spans="1:18" ht="40.049999999999997" customHeight="1" thickBot="1" x14ac:dyDescent="0.35">
      <c r="A20" s="623" t="s">
        <v>729</v>
      </c>
      <c r="B20" s="623"/>
      <c r="C20" s="623"/>
      <c r="D20" s="623"/>
      <c r="E20" s="623"/>
      <c r="F20" s="623"/>
      <c r="G20" s="623"/>
      <c r="H20" s="623"/>
      <c r="I20" s="623"/>
      <c r="J20" s="623"/>
      <c r="K20" s="268"/>
      <c r="L20" s="145"/>
      <c r="M20" s="145"/>
      <c r="N20" s="145"/>
      <c r="O20" s="145"/>
      <c r="P20" s="145"/>
      <c r="Q20" s="145"/>
      <c r="R20" s="145"/>
    </row>
    <row r="21" spans="1:18" s="158" customFormat="1" ht="11.55" customHeight="1" x14ac:dyDescent="0.2">
      <c r="C21" s="141" t="s">
        <v>291</v>
      </c>
      <c r="D21" s="140" t="s">
        <v>290</v>
      </c>
      <c r="E21" s="613" t="s">
        <v>289</v>
      </c>
      <c r="F21" s="614"/>
      <c r="G21" s="615" t="s">
        <v>288</v>
      </c>
      <c r="H21" s="616"/>
      <c r="I21" s="139" t="s">
        <v>287</v>
      </c>
      <c r="J21" s="220" t="s">
        <v>19</v>
      </c>
    </row>
    <row r="22" spans="1:18" s="158" customFormat="1" ht="36" customHeight="1" thickBot="1" x14ac:dyDescent="0.25">
      <c r="A22" s="201" t="s">
        <v>324</v>
      </c>
      <c r="C22" s="166" t="s">
        <v>336</v>
      </c>
      <c r="D22" s="165" t="s">
        <v>285</v>
      </c>
      <c r="E22" s="164" t="s">
        <v>284</v>
      </c>
      <c r="F22" s="164" t="s">
        <v>283</v>
      </c>
      <c r="G22" s="163" t="s">
        <v>282</v>
      </c>
      <c r="H22" s="163" t="s">
        <v>281</v>
      </c>
      <c r="I22" s="162" t="s">
        <v>280</v>
      </c>
      <c r="J22" s="219" t="s">
        <v>327</v>
      </c>
    </row>
    <row r="23" spans="1:18" s="158" customFormat="1" ht="12" x14ac:dyDescent="0.25">
      <c r="A23" s="186">
        <f>A7</f>
        <v>46023</v>
      </c>
      <c r="B23" s="185"/>
      <c r="C23" s="190">
        <f t="shared" ref="C23:I23" si="1">SUM(C7*C78)</f>
        <v>2.3142</v>
      </c>
      <c r="D23" s="190">
        <f t="shared" si="1"/>
        <v>57.854999999999997</v>
      </c>
      <c r="E23" s="190">
        <f t="shared" si="1"/>
        <v>0</v>
      </c>
      <c r="F23" s="190">
        <f t="shared" si="1"/>
        <v>0</v>
      </c>
      <c r="G23" s="190">
        <f t="shared" si="1"/>
        <v>0</v>
      </c>
      <c r="H23" s="190">
        <f t="shared" si="1"/>
        <v>0</v>
      </c>
      <c r="I23" s="190">
        <f t="shared" si="1"/>
        <v>492.26625000000001</v>
      </c>
      <c r="J23" s="253">
        <f t="shared" ref="J23:J34" si="2">SUM(C23:I23)</f>
        <v>552.43545000000006</v>
      </c>
    </row>
    <row r="24" spans="1:18" s="158" customFormat="1" ht="12" x14ac:dyDescent="0.25">
      <c r="A24" s="186">
        <f t="shared" ref="A24:A34" si="3">A8</f>
        <v>46054</v>
      </c>
      <c r="B24" s="185"/>
      <c r="C24" s="187">
        <f t="shared" ref="C24:I24" si="4">SUM(C8*C98)</f>
        <v>8.3978527500000002</v>
      </c>
      <c r="D24" s="187">
        <f t="shared" si="4"/>
        <v>209.94631874999999</v>
      </c>
      <c r="E24" s="187">
        <f t="shared" si="4"/>
        <v>0</v>
      </c>
      <c r="F24" s="187">
        <f t="shared" si="4"/>
        <v>0</v>
      </c>
      <c r="G24" s="187">
        <f t="shared" si="4"/>
        <v>0</v>
      </c>
      <c r="H24" s="187">
        <f t="shared" si="4"/>
        <v>0</v>
      </c>
      <c r="I24" s="187">
        <f t="shared" si="4"/>
        <v>157.45973906249998</v>
      </c>
      <c r="J24" s="267">
        <f t="shared" si="2"/>
        <v>375.80391056249994</v>
      </c>
    </row>
    <row r="25" spans="1:18" s="158" customFormat="1" ht="12" x14ac:dyDescent="0.25">
      <c r="A25" s="186">
        <f t="shared" si="3"/>
        <v>46082</v>
      </c>
      <c r="B25" s="185"/>
      <c r="C25" s="187">
        <f t="shared" ref="C25:I25" si="5">SUM(C9*C118)</f>
        <v>2.30264346375</v>
      </c>
      <c r="D25" s="187">
        <f t="shared" si="5"/>
        <v>57.566086593749993</v>
      </c>
      <c r="E25" s="187">
        <f t="shared" si="5"/>
        <v>0</v>
      </c>
      <c r="F25" s="187">
        <f t="shared" si="5"/>
        <v>0</v>
      </c>
      <c r="G25" s="187">
        <f t="shared" si="5"/>
        <v>0</v>
      </c>
      <c r="H25" s="187">
        <f t="shared" si="5"/>
        <v>0</v>
      </c>
      <c r="I25" s="187">
        <f t="shared" si="5"/>
        <v>43.17456494531249</v>
      </c>
      <c r="J25" s="249">
        <f t="shared" si="2"/>
        <v>103.04329500281248</v>
      </c>
    </row>
    <row r="26" spans="1:18" s="158" customFormat="1" ht="12" x14ac:dyDescent="0.25">
      <c r="A26" s="186">
        <f t="shared" si="3"/>
        <v>46113</v>
      </c>
      <c r="B26" s="185"/>
      <c r="C26" s="187">
        <f t="shared" ref="C26:I26" si="6">SUM(C10*C138)</f>
        <v>5.5838111477203123</v>
      </c>
      <c r="D26" s="187">
        <f t="shared" si="6"/>
        <v>139.5952786930078</v>
      </c>
      <c r="E26" s="187">
        <f t="shared" si="6"/>
        <v>0</v>
      </c>
      <c r="F26" s="187">
        <f t="shared" si="6"/>
        <v>0</v>
      </c>
      <c r="G26" s="187">
        <f t="shared" si="6"/>
        <v>0</v>
      </c>
      <c r="H26" s="187">
        <f t="shared" si="6"/>
        <v>0</v>
      </c>
      <c r="I26" s="187">
        <f t="shared" si="6"/>
        <v>104.69645901975584</v>
      </c>
      <c r="J26" s="249">
        <f t="shared" si="2"/>
        <v>249.87554886048395</v>
      </c>
    </row>
    <row r="27" spans="1:18" s="158" customFormat="1" ht="12" x14ac:dyDescent="0.25">
      <c r="A27" s="186">
        <f t="shared" si="3"/>
        <v>46143</v>
      </c>
      <c r="B27" s="185"/>
      <c r="C27" s="187">
        <f t="shared" ref="C27:I27" si="7">SUM(C11*C158)</f>
        <v>2.2911446379528986</v>
      </c>
      <c r="D27" s="187">
        <f t="shared" si="7"/>
        <v>50.318615948822455</v>
      </c>
      <c r="E27" s="187">
        <f t="shared" si="7"/>
        <v>0</v>
      </c>
      <c r="F27" s="187">
        <f t="shared" si="7"/>
        <v>0</v>
      </c>
      <c r="G27" s="187">
        <f t="shared" si="7"/>
        <v>0</v>
      </c>
      <c r="H27" s="187">
        <f t="shared" si="7"/>
        <v>0</v>
      </c>
      <c r="I27" s="187">
        <f t="shared" si="7"/>
        <v>42.958961961616836</v>
      </c>
      <c r="J27" s="249">
        <f t="shared" si="2"/>
        <v>95.568722548392188</v>
      </c>
    </row>
    <row r="28" spans="1:18" s="158" customFormat="1" ht="12" x14ac:dyDescent="0.25">
      <c r="A28" s="186">
        <f t="shared" si="3"/>
        <v>46174</v>
      </c>
      <c r="B28" s="189"/>
      <c r="C28" s="187">
        <f t="shared" ref="C28:I28" si="8">SUM(C12*C178)</f>
        <v>2.2854167763580162</v>
      </c>
      <c r="D28" s="187">
        <f t="shared" si="8"/>
        <v>50.192819408950399</v>
      </c>
      <c r="E28" s="187">
        <f t="shared" si="8"/>
        <v>0</v>
      </c>
      <c r="F28" s="187">
        <f t="shared" si="8"/>
        <v>0</v>
      </c>
      <c r="G28" s="187">
        <f t="shared" si="8"/>
        <v>0</v>
      </c>
      <c r="H28" s="187">
        <f t="shared" si="8"/>
        <v>0</v>
      </c>
      <c r="I28" s="187">
        <f t="shared" si="8"/>
        <v>42.851564556712795</v>
      </c>
      <c r="J28" s="249">
        <f t="shared" si="2"/>
        <v>95.329800742021206</v>
      </c>
    </row>
    <row r="29" spans="1:18" s="158" customFormat="1" ht="12" x14ac:dyDescent="0.25">
      <c r="A29" s="186">
        <f t="shared" si="3"/>
        <v>46204</v>
      </c>
      <c r="B29" s="185"/>
      <c r="C29" s="187">
        <f t="shared" ref="C29:I29" si="9">SUM(C13*C198)</f>
        <v>2.2797032344171209</v>
      </c>
      <c r="D29" s="187">
        <f t="shared" si="9"/>
        <v>50.067337360428027</v>
      </c>
      <c r="E29" s="187">
        <f t="shared" si="9"/>
        <v>0</v>
      </c>
      <c r="F29" s="187">
        <f t="shared" si="9"/>
        <v>132.65514510616865</v>
      </c>
      <c r="G29" s="187">
        <f t="shared" si="9"/>
        <v>0</v>
      </c>
      <c r="H29" s="187">
        <f t="shared" si="9"/>
        <v>77.750654492782189</v>
      </c>
      <c r="I29" s="187">
        <f t="shared" si="9"/>
        <v>0</v>
      </c>
      <c r="J29" s="249">
        <f t="shared" si="2"/>
        <v>262.75284019379598</v>
      </c>
    </row>
    <row r="30" spans="1:18" s="158" customFormat="1" ht="12" x14ac:dyDescent="0.25">
      <c r="A30" s="186">
        <f t="shared" si="3"/>
        <v>46235</v>
      </c>
      <c r="B30" s="185"/>
      <c r="C30" s="187">
        <f t="shared" ref="C30:I30" si="10">SUM(C14*C218)</f>
        <v>198.30882952211368</v>
      </c>
      <c r="D30" s="187">
        <f t="shared" si="10"/>
        <v>49.942169017026956</v>
      </c>
      <c r="E30" s="187">
        <f t="shared" si="10"/>
        <v>0</v>
      </c>
      <c r="F30" s="187">
        <f t="shared" si="10"/>
        <v>21.318787278103855</v>
      </c>
      <c r="G30" s="187">
        <f t="shared" si="10"/>
        <v>0</v>
      </c>
      <c r="H30" s="187">
        <f t="shared" si="10"/>
        <v>8.5587872781038534</v>
      </c>
      <c r="I30" s="187">
        <f t="shared" si="10"/>
        <v>0</v>
      </c>
      <c r="J30" s="249">
        <f t="shared" si="2"/>
        <v>278.12857309534837</v>
      </c>
    </row>
    <row r="31" spans="1:18" s="158" customFormat="1" ht="12" x14ac:dyDescent="0.25">
      <c r="A31" s="186">
        <f t="shared" si="3"/>
        <v>46266</v>
      </c>
      <c r="B31" s="185"/>
      <c r="C31" s="187">
        <f t="shared" ref="C31:I31" si="11">SUM(C15*C238)</f>
        <v>1.6883189663902505</v>
      </c>
      <c r="D31" s="187">
        <f t="shared" si="11"/>
        <v>49.817313594484389</v>
      </c>
      <c r="E31" s="187">
        <f t="shared" si="11"/>
        <v>0</v>
      </c>
      <c r="F31" s="187">
        <f t="shared" si="11"/>
        <v>12.565490309908594</v>
      </c>
      <c r="G31" s="187">
        <f t="shared" si="11"/>
        <v>0</v>
      </c>
      <c r="H31" s="187">
        <f t="shared" si="11"/>
        <v>8.537390309908595</v>
      </c>
      <c r="I31" s="187">
        <f t="shared" si="11"/>
        <v>0</v>
      </c>
      <c r="J31" s="249">
        <f t="shared" si="2"/>
        <v>72.60851318069183</v>
      </c>
    </row>
    <row r="32" spans="1:18" s="158" customFormat="1" ht="12" x14ac:dyDescent="0.25">
      <c r="A32" s="186">
        <f t="shared" si="3"/>
        <v>46296</v>
      </c>
      <c r="B32" s="185"/>
      <c r="C32" s="187">
        <f t="shared" ref="C32:I32" si="12">SUM(C16*C258)</f>
        <v>9.9884443125370801</v>
      </c>
      <c r="D32" s="187">
        <f t="shared" si="12"/>
        <v>294.72953425536855</v>
      </c>
      <c r="E32" s="187">
        <f t="shared" si="12"/>
        <v>0</v>
      </c>
      <c r="F32" s="187">
        <f t="shared" si="12"/>
        <v>31.983505766410435</v>
      </c>
      <c r="G32" s="187">
        <f t="shared" si="12"/>
        <v>0</v>
      </c>
      <c r="H32" s="187">
        <f t="shared" si="12"/>
        <v>21.730602266410443</v>
      </c>
      <c r="I32" s="187">
        <f t="shared" si="12"/>
        <v>19.173127801189249</v>
      </c>
      <c r="J32" s="249">
        <f t="shared" si="2"/>
        <v>377.60521440191576</v>
      </c>
    </row>
    <row r="33" spans="1:19" s="158" customFormat="1" ht="12" x14ac:dyDescent="0.25">
      <c r="A33" s="186">
        <f t="shared" si="3"/>
        <v>46327</v>
      </c>
      <c r="B33" s="185"/>
      <c r="C33" s="187">
        <f t="shared" ref="C33:I33" si="13">SUM(C17*C278)</f>
        <v>1.6798879235518391</v>
      </c>
      <c r="D33" s="187">
        <f t="shared" si="13"/>
        <v>49.56853838472194</v>
      </c>
      <c r="E33" s="187">
        <f t="shared" si="13"/>
        <v>0</v>
      </c>
      <c r="F33" s="187">
        <f t="shared" si="13"/>
        <v>12.502741392673487</v>
      </c>
      <c r="G33" s="187">
        <f t="shared" si="13"/>
        <v>0</v>
      </c>
      <c r="H33" s="187">
        <f t="shared" si="13"/>
        <v>8.4947567170484888</v>
      </c>
      <c r="I33" s="187">
        <f t="shared" si="13"/>
        <v>28.478240018035642</v>
      </c>
      <c r="J33" s="249">
        <f t="shared" si="2"/>
        <v>100.7241644360314</v>
      </c>
    </row>
    <row r="34" spans="1:19" s="158" customFormat="1" ht="12.6" thickBot="1" x14ac:dyDescent="0.3">
      <c r="A34" s="186">
        <f t="shared" si="3"/>
        <v>46357</v>
      </c>
      <c r="B34" s="185"/>
      <c r="C34" s="266">
        <f t="shared" ref="C34:I34" si="14">SUM(C18*C298)</f>
        <v>1.6756882037429595</v>
      </c>
      <c r="D34" s="266">
        <f t="shared" si="14"/>
        <v>49.444617038760128</v>
      </c>
      <c r="E34" s="266">
        <f t="shared" si="14"/>
        <v>0</v>
      </c>
      <c r="F34" s="266">
        <f t="shared" si="14"/>
        <v>12.471484539191803</v>
      </c>
      <c r="G34" s="266">
        <f t="shared" si="14"/>
        <v>0</v>
      </c>
      <c r="H34" s="266">
        <f t="shared" si="14"/>
        <v>0.35351982525586872</v>
      </c>
      <c r="I34" s="266">
        <f t="shared" si="14"/>
        <v>42.663985603490246</v>
      </c>
      <c r="J34" s="245">
        <f t="shared" si="2"/>
        <v>106.60929521044099</v>
      </c>
    </row>
    <row r="35" spans="1:19" s="158" customFormat="1" ht="18" customHeight="1" thickBot="1" x14ac:dyDescent="0.3">
      <c r="A35" s="209" t="s">
        <v>326</v>
      </c>
      <c r="B35" s="208"/>
      <c r="C35" s="265">
        <f t="shared" ref="C35:J35" si="15">SUM(C23:C34)</f>
        <v>238.79594093853416</v>
      </c>
      <c r="D35" s="264">
        <f t="shared" si="15"/>
        <v>1109.0436290453206</v>
      </c>
      <c r="E35" s="264">
        <f t="shared" si="15"/>
        <v>0</v>
      </c>
      <c r="F35" s="264">
        <f t="shared" si="15"/>
        <v>223.49715439245685</v>
      </c>
      <c r="G35" s="264">
        <f t="shared" si="15"/>
        <v>0</v>
      </c>
      <c r="H35" s="264">
        <f t="shared" si="15"/>
        <v>125.42571088950943</v>
      </c>
      <c r="I35" s="264">
        <f t="shared" si="15"/>
        <v>973.72289296861311</v>
      </c>
      <c r="J35" s="241">
        <f t="shared" si="15"/>
        <v>2670.4853282344343</v>
      </c>
    </row>
    <row r="36" spans="1:19" s="158" customFormat="1" ht="18" customHeight="1" x14ac:dyDescent="0.25">
      <c r="A36" s="189"/>
      <c r="B36" s="240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</row>
    <row r="37" spans="1:19" s="158" customFormat="1" ht="18" customHeight="1" x14ac:dyDescent="0.25">
      <c r="A37" s="189"/>
      <c r="B37" s="240"/>
      <c r="C37" s="263"/>
      <c r="D37" s="263"/>
      <c r="E37" s="263"/>
      <c r="F37" s="263"/>
      <c r="G37" s="263"/>
      <c r="H37" s="263"/>
      <c r="I37" s="263"/>
      <c r="J37" s="263"/>
    </row>
    <row r="38" spans="1:19" s="158" customFormat="1" ht="12" x14ac:dyDescent="0.25">
      <c r="A38" s="204" t="s">
        <v>325</v>
      </c>
      <c r="B38" s="203"/>
      <c r="C38" s="202">
        <f t="shared" ref="C38:J38" si="16">SUM(C35/$J$35)</f>
        <v>8.9420427970076807E-2</v>
      </c>
      <c r="D38" s="202">
        <f t="shared" si="16"/>
        <v>0.41529665687343587</v>
      </c>
      <c r="E38" s="202">
        <f t="shared" si="16"/>
        <v>0</v>
      </c>
      <c r="F38" s="202">
        <f t="shared" si="16"/>
        <v>8.369158670503532E-2</v>
      </c>
      <c r="G38" s="202">
        <f t="shared" si="16"/>
        <v>0</v>
      </c>
      <c r="H38" s="202">
        <f t="shared" si="16"/>
        <v>4.6967384378941122E-2</v>
      </c>
      <c r="I38" s="202">
        <f t="shared" si="16"/>
        <v>0.36462394407251081</v>
      </c>
      <c r="J38" s="202">
        <f t="shared" si="16"/>
        <v>1</v>
      </c>
    </row>
    <row r="39" spans="1:19" s="158" customFormat="1" ht="40.049999999999997" customHeight="1" thickBot="1" x14ac:dyDescent="0.25">
      <c r="A39" s="268" t="s">
        <v>732</v>
      </c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</row>
    <row r="40" spans="1:19" s="158" customFormat="1" ht="24.6" thickBot="1" x14ac:dyDescent="0.25">
      <c r="A40" s="262" t="s">
        <v>324</v>
      </c>
      <c r="B40" s="261"/>
      <c r="C40" s="260" t="str">
        <f>'Inputs '!$A$21</f>
        <v>Supa-Dip</v>
      </c>
      <c r="D40" s="259" t="str">
        <f>'Inputs '!$A$22</f>
        <v>General Treatments</v>
      </c>
      <c r="E40" s="259" t="str">
        <f>'Inputs '!$A$23</f>
        <v>Supavax</v>
      </c>
      <c r="F40" s="259" t="str">
        <f>'Inputs '!$A$24</f>
        <v>S19 Brucelosis</v>
      </c>
      <c r="G40" s="259" t="str">
        <f>'Inputs '!$A$25</f>
        <v>Vibrin</v>
      </c>
      <c r="H40" s="259" t="str">
        <f>'Inputs '!$A$26</f>
        <v>Lumpyvax</v>
      </c>
      <c r="I40" s="259" t="str">
        <f>'Inputs '!$A$27</f>
        <v>Bimectin</v>
      </c>
      <c r="J40" s="258" t="str">
        <f>'Inputs '!$A$28</f>
        <v>Multimin</v>
      </c>
      <c r="K40" s="258" t="str">
        <f>'Inputs '!$A$29</f>
        <v>Bull Testing</v>
      </c>
      <c r="L40" s="258" t="str">
        <f>'Inputs '!$A$30</f>
        <v xml:space="preserve">Ear Tags </v>
      </c>
      <c r="M40" s="258" t="str">
        <f>'Inputs '!$A$31</f>
        <v>Flucazole</v>
      </c>
      <c r="N40" s="258" t="str">
        <f>'Inputs '!$A$32</f>
        <v>-</v>
      </c>
      <c r="O40" s="258" t="str">
        <f>'Inputs '!$A$33</f>
        <v>-</v>
      </c>
      <c r="P40" s="258" t="str">
        <f>'Inputs '!$A$34</f>
        <v>-</v>
      </c>
      <c r="Q40" s="258" t="str">
        <f>'Inputs '!$A$35</f>
        <v>-</v>
      </c>
      <c r="R40" s="258" t="str">
        <f>'Inputs '!$A$36</f>
        <v>-</v>
      </c>
      <c r="S40" s="257" t="s">
        <v>335</v>
      </c>
    </row>
    <row r="41" spans="1:19" s="158" customFormat="1" ht="12" x14ac:dyDescent="0.25">
      <c r="A41" s="248">
        <f>A23</f>
        <v>46023</v>
      </c>
      <c r="B41" s="185"/>
      <c r="C41" s="256">
        <f>SUM(J62)</f>
        <v>85.705199999999991</v>
      </c>
      <c r="D41" s="255">
        <f>SUM(J63)</f>
        <v>17.855250000000002</v>
      </c>
      <c r="E41" s="254">
        <f>SUM(J64)</f>
        <v>0</v>
      </c>
      <c r="F41" s="254">
        <f>SUM(J65)</f>
        <v>0</v>
      </c>
      <c r="G41" s="254">
        <f>SUM(J66)</f>
        <v>0</v>
      </c>
      <c r="H41" s="254">
        <f>SUM(J67)</f>
        <v>0</v>
      </c>
      <c r="I41" s="254">
        <f>SUM(J68)</f>
        <v>0</v>
      </c>
      <c r="J41" s="254">
        <f>SUM(J69)</f>
        <v>0</v>
      </c>
      <c r="K41" s="254">
        <f>SUM(J70)</f>
        <v>0</v>
      </c>
      <c r="L41" s="254">
        <f>SUM(J71)</f>
        <v>448.875</v>
      </c>
      <c r="M41" s="254">
        <f>SUM(J72)</f>
        <v>0</v>
      </c>
      <c r="N41" s="295"/>
      <c r="O41" s="295"/>
      <c r="P41" s="295"/>
      <c r="Q41" s="295"/>
      <c r="R41" s="295"/>
      <c r="S41" s="253">
        <f>SUM(C41:R41)</f>
        <v>552.43544999999995</v>
      </c>
    </row>
    <row r="42" spans="1:19" s="158" customFormat="1" ht="14.55" customHeight="1" x14ac:dyDescent="0.25">
      <c r="A42" s="248">
        <f t="shared" ref="A42:A52" si="17">A24</f>
        <v>46054</v>
      </c>
      <c r="B42" s="185"/>
      <c r="C42" s="250">
        <f>J82</f>
        <v>85.490937000000002</v>
      </c>
      <c r="D42" s="188">
        <f>J83</f>
        <v>17.810611875000003</v>
      </c>
      <c r="E42" s="188">
        <f>J84</f>
        <v>147.8280785625</v>
      </c>
      <c r="F42" s="188">
        <f>J85</f>
        <v>0</v>
      </c>
      <c r="G42" s="188">
        <f>J86</f>
        <v>0</v>
      </c>
      <c r="H42" s="188">
        <f>J87</f>
        <v>124.67428312499999</v>
      </c>
      <c r="I42" s="188">
        <f>J88</f>
        <v>0</v>
      </c>
      <c r="J42" s="188">
        <f>J89</f>
        <v>0</v>
      </c>
      <c r="K42" s="188">
        <f>J90</f>
        <v>0</v>
      </c>
      <c r="L42" s="188">
        <f>J91</f>
        <v>0</v>
      </c>
      <c r="M42" s="188">
        <f>J92</f>
        <v>0</v>
      </c>
      <c r="N42" s="296"/>
      <c r="O42" s="296"/>
      <c r="P42" s="296"/>
      <c r="Q42" s="296"/>
      <c r="R42" s="296"/>
      <c r="S42" s="249">
        <f t="shared" ref="S42:S52" si="18">SUM(C42:R42)</f>
        <v>375.80391056249999</v>
      </c>
    </row>
    <row r="43" spans="1:19" s="158" customFormat="1" ht="14.55" customHeight="1" x14ac:dyDescent="0.25">
      <c r="A43" s="248">
        <f t="shared" si="17"/>
        <v>46082</v>
      </c>
      <c r="B43" s="185"/>
      <c r="C43" s="252">
        <f>SUM(J102)</f>
        <v>85.277209657499981</v>
      </c>
      <c r="D43" s="188">
        <f>J103</f>
        <v>17.766085345312497</v>
      </c>
      <c r="E43" s="188">
        <f>J104</f>
        <v>0</v>
      </c>
      <c r="F43" s="188">
        <f>J105</f>
        <v>0</v>
      </c>
      <c r="G43" s="188">
        <f>J106</f>
        <v>0</v>
      </c>
      <c r="H43" s="188">
        <f>J107</f>
        <v>0</v>
      </c>
      <c r="I43" s="188">
        <f>J108</f>
        <v>0</v>
      </c>
      <c r="J43" s="188">
        <f>J109</f>
        <v>0</v>
      </c>
      <c r="K43" s="188">
        <f>J110</f>
        <v>0</v>
      </c>
      <c r="L43" s="188">
        <f>J111</f>
        <v>0</v>
      </c>
      <c r="M43" s="188">
        <f>J112</f>
        <v>0</v>
      </c>
      <c r="N43" s="296"/>
      <c r="O43" s="296"/>
      <c r="P43" s="296"/>
      <c r="Q43" s="296"/>
      <c r="R43" s="296"/>
      <c r="S43" s="249">
        <f t="shared" si="18"/>
        <v>103.04329500281247</v>
      </c>
    </row>
    <row r="44" spans="1:19" s="158" customFormat="1" ht="14.55" customHeight="1" x14ac:dyDescent="0.25">
      <c r="A44" s="248">
        <f t="shared" si="17"/>
        <v>46113</v>
      </c>
      <c r="B44" s="185"/>
      <c r="C44" s="250">
        <f>SUM(J122)</f>
        <v>85.064016633356246</v>
      </c>
      <c r="D44" s="188">
        <f>J123</f>
        <v>17.721670131949221</v>
      </c>
      <c r="E44" s="188">
        <f>J124</f>
        <v>147.08986209517852</v>
      </c>
      <c r="F44" s="188">
        <f>J125</f>
        <v>0</v>
      </c>
      <c r="G44" s="188">
        <f>J126</f>
        <v>0</v>
      </c>
      <c r="H44" s="188">
        <f>J127</f>
        <v>0</v>
      </c>
      <c r="I44" s="188">
        <f>J128</f>
        <v>0</v>
      </c>
      <c r="J44" s="188">
        <f>J129</f>
        <v>0</v>
      </c>
      <c r="K44" s="188">
        <f>J130</f>
        <v>0</v>
      </c>
      <c r="L44" s="188">
        <f>J131</f>
        <v>0</v>
      </c>
      <c r="M44" s="188">
        <f>J132</f>
        <v>0</v>
      </c>
      <c r="N44" s="296"/>
      <c r="O44" s="296"/>
      <c r="P44" s="296"/>
      <c r="Q44" s="296"/>
      <c r="R44" s="296"/>
      <c r="S44" s="249">
        <f t="shared" si="18"/>
        <v>249.875548860484</v>
      </c>
    </row>
    <row r="45" spans="1:19" s="158" customFormat="1" ht="14.55" customHeight="1" x14ac:dyDescent="0.25">
      <c r="A45" s="248">
        <f t="shared" si="17"/>
        <v>46143</v>
      </c>
      <c r="B45" s="185"/>
      <c r="C45" s="250">
        <f>SUM(J142)</f>
        <v>79.09135659177285</v>
      </c>
      <c r="D45" s="188">
        <f>J143</f>
        <v>16.477365956619344</v>
      </c>
      <c r="E45" s="188">
        <f>J144</f>
        <v>0</v>
      </c>
      <c r="F45" s="188">
        <f>J145</f>
        <v>0</v>
      </c>
      <c r="G45" s="188">
        <f>J146</f>
        <v>0</v>
      </c>
      <c r="H45" s="188">
        <f>J147</f>
        <v>0</v>
      </c>
      <c r="I45" s="188">
        <f>J148</f>
        <v>0</v>
      </c>
      <c r="J45" s="188">
        <f>J149</f>
        <v>0</v>
      </c>
      <c r="K45" s="188">
        <f>J150</f>
        <v>0</v>
      </c>
      <c r="L45" s="188">
        <f>J151</f>
        <v>0</v>
      </c>
      <c r="M45" s="188">
        <f>J152</f>
        <v>0</v>
      </c>
      <c r="N45" s="296"/>
      <c r="O45" s="296"/>
      <c r="P45" s="296"/>
      <c r="Q45" s="296"/>
      <c r="R45" s="296"/>
      <c r="S45" s="249">
        <f t="shared" si="18"/>
        <v>95.568722548392202</v>
      </c>
    </row>
    <row r="46" spans="1:19" s="158" customFormat="1" ht="14.55" customHeight="1" x14ac:dyDescent="0.25">
      <c r="A46" s="248">
        <f t="shared" si="17"/>
        <v>46174</v>
      </c>
      <c r="B46" s="189"/>
      <c r="C46" s="251">
        <f>SUM(J162)</f>
        <v>78.893628200293421</v>
      </c>
      <c r="D46" s="188">
        <f>J163</f>
        <v>16.436172541727796</v>
      </c>
      <c r="E46" s="188">
        <f>J164</f>
        <v>0</v>
      </c>
      <c r="F46" s="188">
        <f>J165</f>
        <v>0</v>
      </c>
      <c r="G46" s="188">
        <f>J166</f>
        <v>0</v>
      </c>
      <c r="H46" s="188">
        <f>J167</f>
        <v>0</v>
      </c>
      <c r="I46" s="188">
        <f>J168</f>
        <v>0</v>
      </c>
      <c r="J46" s="188">
        <f>J169</f>
        <v>0</v>
      </c>
      <c r="K46" s="188">
        <f>J170</f>
        <v>0</v>
      </c>
      <c r="L46" s="188">
        <f>J171</f>
        <v>0</v>
      </c>
      <c r="M46" s="188">
        <f>J172</f>
        <v>0</v>
      </c>
      <c r="N46" s="296"/>
      <c r="O46" s="296"/>
      <c r="P46" s="296"/>
      <c r="Q46" s="296"/>
      <c r="R46" s="296"/>
      <c r="S46" s="249">
        <f t="shared" si="18"/>
        <v>95.32980074202122</v>
      </c>
    </row>
    <row r="47" spans="1:19" s="158" customFormat="1" ht="14.55" customHeight="1" x14ac:dyDescent="0.25">
      <c r="A47" s="248">
        <f t="shared" si="17"/>
        <v>46204</v>
      </c>
      <c r="B47" s="185"/>
      <c r="C47" s="250">
        <f>SUM(J182)</f>
        <v>78.696394129792679</v>
      </c>
      <c r="D47" s="188">
        <f>J183</f>
        <v>16.395082110373476</v>
      </c>
      <c r="E47" s="188">
        <f>J184</f>
        <v>61.168761354511105</v>
      </c>
      <c r="F47" s="188">
        <f>J185</f>
        <v>54.904490613386479</v>
      </c>
      <c r="G47" s="188">
        <f>J186</f>
        <v>0</v>
      </c>
      <c r="H47" s="188">
        <f>J187</f>
        <v>51.588111985732255</v>
      </c>
      <c r="I47" s="188">
        <f>J188</f>
        <v>0</v>
      </c>
      <c r="J47" s="188">
        <f>J189</f>
        <v>0</v>
      </c>
      <c r="K47" s="188">
        <f>J190</f>
        <v>0</v>
      </c>
      <c r="L47" s="188">
        <f>J191</f>
        <v>0</v>
      </c>
      <c r="M47" s="188">
        <f>J192</f>
        <v>0</v>
      </c>
      <c r="N47" s="296"/>
      <c r="O47" s="296"/>
      <c r="P47" s="296"/>
      <c r="Q47" s="296"/>
      <c r="R47" s="296"/>
      <c r="S47" s="249">
        <f t="shared" si="18"/>
        <v>262.75284019379603</v>
      </c>
    </row>
    <row r="48" spans="1:19" s="158" customFormat="1" ht="14.55" customHeight="1" x14ac:dyDescent="0.25">
      <c r="A48" s="248">
        <f t="shared" si="17"/>
        <v>46235</v>
      </c>
      <c r="B48" s="185"/>
      <c r="C48" s="250">
        <f>SUM(J202)</f>
        <v>67.93965314446821</v>
      </c>
      <c r="D48" s="188">
        <f>J203</f>
        <v>14.154094405097545</v>
      </c>
      <c r="E48" s="188">
        <f>J204</f>
        <v>0</v>
      </c>
      <c r="F48" s="188">
        <f>J205</f>
        <v>0</v>
      </c>
      <c r="G48" s="188">
        <f>J206</f>
        <v>0</v>
      </c>
      <c r="H48" s="188">
        <f>J207</f>
        <v>0</v>
      </c>
      <c r="I48" s="188">
        <f>J208</f>
        <v>0</v>
      </c>
      <c r="J48" s="188">
        <f>J209</f>
        <v>0</v>
      </c>
      <c r="K48" s="188">
        <f>J210</f>
        <v>196.03482554578261</v>
      </c>
      <c r="L48" s="188">
        <f>J211</f>
        <v>0</v>
      </c>
      <c r="M48" s="188">
        <f>J212</f>
        <v>0</v>
      </c>
      <c r="N48" s="296"/>
      <c r="O48" s="296"/>
      <c r="P48" s="296"/>
      <c r="Q48" s="296"/>
      <c r="R48" s="296"/>
      <c r="S48" s="249">
        <f t="shared" si="18"/>
        <v>278.12857309534837</v>
      </c>
    </row>
    <row r="49" spans="1:19" s="158" customFormat="1" ht="14.55" customHeight="1" x14ac:dyDescent="0.25">
      <c r="A49" s="248">
        <f t="shared" si="17"/>
        <v>46266</v>
      </c>
      <c r="B49" s="185"/>
      <c r="C49" s="250">
        <f>SUM(J222)</f>
        <v>60.089804011607036</v>
      </c>
      <c r="D49" s="188">
        <f>J223</f>
        <v>12.518709169084801</v>
      </c>
      <c r="E49" s="188">
        <f>J224</f>
        <v>0</v>
      </c>
      <c r="F49" s="188">
        <f>J225</f>
        <v>0</v>
      </c>
      <c r="G49" s="188">
        <f>J226</f>
        <v>0</v>
      </c>
      <c r="H49" s="188">
        <f>J227</f>
        <v>0</v>
      </c>
      <c r="I49" s="188">
        <f>J228</f>
        <v>0</v>
      </c>
      <c r="J49" s="188">
        <f>J229</f>
        <v>0</v>
      </c>
      <c r="K49" s="188">
        <f>J230</f>
        <v>0</v>
      </c>
      <c r="L49" s="188">
        <f>J231</f>
        <v>0</v>
      </c>
      <c r="M49" s="188">
        <f>J232</f>
        <v>131.81584723707616</v>
      </c>
      <c r="N49" s="296"/>
      <c r="O49" s="296"/>
      <c r="P49" s="296"/>
      <c r="Q49" s="296"/>
      <c r="R49" s="296"/>
      <c r="S49" s="249">
        <f t="shared" si="18"/>
        <v>204.42436041776799</v>
      </c>
    </row>
    <row r="50" spans="1:19" s="158" customFormat="1" ht="14.55" customHeight="1" x14ac:dyDescent="0.25">
      <c r="A50" s="248">
        <f t="shared" si="17"/>
        <v>46296</v>
      </c>
      <c r="B50" s="185"/>
      <c r="C50" s="251">
        <f>SUM(J242)</f>
        <v>71.738427379232931</v>
      </c>
      <c r="D50" s="188">
        <f>J243</f>
        <v>14.945505704006862</v>
      </c>
      <c r="E50" s="188">
        <f>J244</f>
        <v>0</v>
      </c>
      <c r="F50" s="188">
        <f>J245</f>
        <v>0</v>
      </c>
      <c r="G50" s="188">
        <f>J246</f>
        <v>115.1550500401969</v>
      </c>
      <c r="H50" s="188">
        <f>J247</f>
        <v>87.411886773134597</v>
      </c>
      <c r="I50" s="188">
        <f>J248</f>
        <v>58.463333097330732</v>
      </c>
      <c r="J50" s="188">
        <f>J249</f>
        <v>29.891011408013725</v>
      </c>
      <c r="K50" s="188">
        <f>J250</f>
        <v>0</v>
      </c>
      <c r="L50" s="188">
        <f>J251</f>
        <v>0</v>
      </c>
      <c r="M50" s="188">
        <f>J252</f>
        <v>0</v>
      </c>
      <c r="N50" s="296"/>
      <c r="O50" s="296"/>
      <c r="P50" s="296"/>
      <c r="Q50" s="296"/>
      <c r="R50" s="296"/>
      <c r="S50" s="249">
        <f t="shared" si="18"/>
        <v>377.60521440191576</v>
      </c>
    </row>
    <row r="51" spans="1:19" s="158" customFormat="1" ht="14.55" customHeight="1" x14ac:dyDescent="0.25">
      <c r="A51" s="248">
        <f t="shared" si="17"/>
        <v>46327</v>
      </c>
      <c r="B51" s="185"/>
      <c r="C51" s="250">
        <f>SUM(J262)</f>
        <v>83.357929188439783</v>
      </c>
      <c r="D51" s="188">
        <f>J263</f>
        <v>17.366235247591622</v>
      </c>
      <c r="E51" s="188">
        <f>J264</f>
        <v>0</v>
      </c>
      <c r="F51" s="188">
        <f>J265</f>
        <v>0</v>
      </c>
      <c r="G51" s="188">
        <f>J266</f>
        <v>0</v>
      </c>
      <c r="H51" s="188">
        <f>J267</f>
        <v>0</v>
      </c>
      <c r="I51" s="188">
        <f>J268</f>
        <v>0</v>
      </c>
      <c r="J51" s="188">
        <f>J269</f>
        <v>0</v>
      </c>
      <c r="K51" s="188">
        <f>J269</f>
        <v>0</v>
      </c>
      <c r="L51" s="188">
        <f>J270</f>
        <v>0</v>
      </c>
      <c r="M51" s="188">
        <f>J272</f>
        <v>0</v>
      </c>
      <c r="N51" s="296"/>
      <c r="O51" s="296"/>
      <c r="P51" s="296"/>
      <c r="Q51" s="296"/>
      <c r="R51" s="296"/>
      <c r="S51" s="249">
        <f t="shared" si="18"/>
        <v>100.7241644360314</v>
      </c>
    </row>
    <row r="52" spans="1:19" s="158" customFormat="1" ht="14.55" customHeight="1" thickBot="1" x14ac:dyDescent="0.3">
      <c r="A52" s="248">
        <f t="shared" si="17"/>
        <v>46357</v>
      </c>
      <c r="B52" s="185"/>
      <c r="C52" s="247">
        <f>SUM(J282)</f>
        <v>88.228382243123605</v>
      </c>
      <c r="D52" s="246">
        <f>J283</f>
        <v>18.380912967317418</v>
      </c>
      <c r="E52" s="246">
        <f>J284</f>
        <v>0</v>
      </c>
      <c r="F52" s="246">
        <f>J285</f>
        <v>0</v>
      </c>
      <c r="G52" s="246">
        <f>J286</f>
        <v>0</v>
      </c>
      <c r="H52" s="246">
        <f>J287</f>
        <v>0</v>
      </c>
      <c r="I52" s="246">
        <f>J288</f>
        <v>0</v>
      </c>
      <c r="J52" s="246">
        <f>J289</f>
        <v>0</v>
      </c>
      <c r="K52" s="246">
        <f>J290</f>
        <v>0</v>
      </c>
      <c r="L52" s="246">
        <f>J291</f>
        <v>0</v>
      </c>
      <c r="M52" s="246">
        <f>J292</f>
        <v>0</v>
      </c>
      <c r="N52" s="297"/>
      <c r="O52" s="297"/>
      <c r="P52" s="297"/>
      <c r="Q52" s="297"/>
      <c r="R52" s="297"/>
      <c r="S52" s="245">
        <f t="shared" si="18"/>
        <v>106.60929521044102</v>
      </c>
    </row>
    <row r="53" spans="1:19" s="158" customFormat="1" ht="20.25" customHeight="1" thickBot="1" x14ac:dyDescent="0.3">
      <c r="A53" s="244" t="s">
        <v>326</v>
      </c>
      <c r="B53" s="243"/>
      <c r="C53" s="242">
        <f t="shared" ref="C53:M53" si="19">SUM(C41:C52)</f>
        <v>949.5729381795868</v>
      </c>
      <c r="D53" s="242">
        <f t="shared" si="19"/>
        <v>197.82769545408058</v>
      </c>
      <c r="E53" s="242">
        <f t="shared" si="19"/>
        <v>356.08670201218962</v>
      </c>
      <c r="F53" s="242">
        <f t="shared" si="19"/>
        <v>54.904490613386479</v>
      </c>
      <c r="G53" s="242">
        <f t="shared" si="19"/>
        <v>115.1550500401969</v>
      </c>
      <c r="H53" s="242">
        <f t="shared" si="19"/>
        <v>263.67428188386685</v>
      </c>
      <c r="I53" s="242">
        <f t="shared" si="19"/>
        <v>58.463333097330732</v>
      </c>
      <c r="J53" s="242">
        <f t="shared" si="19"/>
        <v>29.891011408013725</v>
      </c>
      <c r="K53" s="242">
        <f t="shared" si="19"/>
        <v>196.03482554578261</v>
      </c>
      <c r="L53" s="242">
        <f t="shared" si="19"/>
        <v>448.875</v>
      </c>
      <c r="M53" s="242">
        <f t="shared" si="19"/>
        <v>131.81584723707616</v>
      </c>
      <c r="N53" s="298"/>
      <c r="O53" s="298"/>
      <c r="P53" s="298"/>
      <c r="Q53" s="298"/>
      <c r="R53" s="298"/>
      <c r="S53" s="241">
        <f t="shared" ref="S53" si="20">SUM(C53:L53)</f>
        <v>2670.4853282344343</v>
      </c>
    </row>
    <row r="54" spans="1:19" s="158" customFormat="1" ht="14.55" customHeight="1" x14ac:dyDescent="0.25">
      <c r="A54" s="189"/>
      <c r="B54" s="240"/>
      <c r="C54" s="239">
        <f t="shared" ref="C54:L54" si="21">SUM(C53/$S$53)</f>
        <v>0.35558066099070756</v>
      </c>
      <c r="D54" s="239">
        <f t="shared" si="21"/>
        <v>7.4079304373064078E-2</v>
      </c>
      <c r="E54" s="239">
        <f t="shared" si="21"/>
        <v>0.13334156838360647</v>
      </c>
      <c r="F54" s="239">
        <f t="shared" si="21"/>
        <v>2.0559742468117603E-2</v>
      </c>
      <c r="G54" s="239">
        <f t="shared" si="21"/>
        <v>4.3121394011301516E-2</v>
      </c>
      <c r="H54" s="239">
        <f t="shared" si="21"/>
        <v>9.8736465276966182E-2</v>
      </c>
      <c r="I54" s="239">
        <f t="shared" si="21"/>
        <v>2.1892400036506922E-2</v>
      </c>
      <c r="J54" s="239">
        <f t="shared" si="21"/>
        <v>1.1193100779091672E-2</v>
      </c>
      <c r="K54" s="239">
        <f t="shared" si="21"/>
        <v>7.3407939550594409E-2</v>
      </c>
      <c r="L54" s="239">
        <f t="shared" si="21"/>
        <v>0.16808742413004357</v>
      </c>
      <c r="M54" s="239"/>
      <c r="N54" s="239"/>
      <c r="O54" s="239"/>
      <c r="P54" s="239"/>
      <c r="Q54" s="239"/>
      <c r="R54" s="239"/>
      <c r="S54" s="239">
        <f>SUM(S53/$S$53)</f>
        <v>1</v>
      </c>
    </row>
    <row r="55" spans="1:19" s="158" customFormat="1" ht="14.55" customHeight="1" x14ac:dyDescent="0.2">
      <c r="R55" s="170">
        <f>SUM(C53:L53)</f>
        <v>2670.4853282344343</v>
      </c>
    </row>
    <row r="56" spans="1:19" s="158" customFormat="1" ht="21" x14ac:dyDescent="0.2">
      <c r="A56" s="270" t="s">
        <v>334</v>
      </c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</row>
    <row r="57" spans="1:19" s="158" customFormat="1" ht="12" x14ac:dyDescent="0.25">
      <c r="A57" s="169"/>
      <c r="B57" s="169"/>
    </row>
    <row r="58" spans="1:19" s="158" customFormat="1" ht="12" x14ac:dyDescent="0.25">
      <c r="A58" s="157" t="s">
        <v>314</v>
      </c>
      <c r="B58" s="156">
        <v>31</v>
      </c>
      <c r="C58" s="155"/>
      <c r="D58" s="155"/>
      <c r="E58" s="155"/>
      <c r="F58" s="155"/>
      <c r="G58" s="155"/>
      <c r="H58" s="155"/>
      <c r="I58" s="155"/>
      <c r="J58" s="155"/>
    </row>
    <row r="59" spans="1:19" s="158" customFormat="1" ht="12.6" thickBot="1" x14ac:dyDescent="0.3">
      <c r="A59" s="154"/>
      <c r="B59" s="153"/>
      <c r="C59" s="622" t="s">
        <v>331</v>
      </c>
      <c r="D59" s="622"/>
      <c r="E59" s="622"/>
      <c r="F59" s="622"/>
      <c r="G59" s="622"/>
      <c r="H59" s="622"/>
      <c r="I59" s="622"/>
      <c r="J59" s="238"/>
      <c r="K59" s="237"/>
      <c r="L59" s="237"/>
      <c r="M59" s="237"/>
      <c r="N59" s="237"/>
      <c r="O59" s="237"/>
      <c r="P59" s="237"/>
      <c r="Q59" s="237"/>
      <c r="R59" s="236"/>
    </row>
    <row r="60" spans="1:19" s="158" customFormat="1" ht="15" customHeight="1" x14ac:dyDescent="0.25">
      <c r="A60" s="154"/>
      <c r="B60" s="153"/>
      <c r="C60" s="141" t="s">
        <v>291</v>
      </c>
      <c r="D60" s="140" t="s">
        <v>290</v>
      </c>
      <c r="E60" s="613" t="s">
        <v>333</v>
      </c>
      <c r="F60" s="614"/>
      <c r="G60" s="615" t="s">
        <v>288</v>
      </c>
      <c r="H60" s="616"/>
      <c r="I60" s="139" t="s">
        <v>287</v>
      </c>
      <c r="J60" s="152"/>
    </row>
    <row r="61" spans="1:19" s="158" customFormat="1" ht="36" x14ac:dyDescent="0.25">
      <c r="A61" s="154" t="s">
        <v>292</v>
      </c>
      <c r="B61" s="153" t="s">
        <v>332</v>
      </c>
      <c r="C61" s="166" t="s">
        <v>286</v>
      </c>
      <c r="D61" s="165" t="s">
        <v>285</v>
      </c>
      <c r="E61" s="164" t="s">
        <v>284</v>
      </c>
      <c r="F61" s="164" t="s">
        <v>283</v>
      </c>
      <c r="G61" s="163" t="s">
        <v>282</v>
      </c>
      <c r="H61" s="163" t="s">
        <v>281</v>
      </c>
      <c r="I61" s="162" t="s">
        <v>280</v>
      </c>
      <c r="J61" s="161" t="s">
        <v>330</v>
      </c>
    </row>
    <row r="62" spans="1:19" s="158" customFormat="1" ht="11.4" hidden="1" outlineLevel="1" x14ac:dyDescent="0.2">
      <c r="A62" s="235" t="str">
        <f>'Inputs '!$A$21</f>
        <v>Supa-Dip</v>
      </c>
      <c r="B62" s="234">
        <f>'Inputs '!B21</f>
        <v>0.12</v>
      </c>
      <c r="C62" s="233">
        <v>4</v>
      </c>
      <c r="D62" s="233">
        <v>4</v>
      </c>
      <c r="E62" s="233">
        <v>4</v>
      </c>
      <c r="F62" s="233">
        <v>4</v>
      </c>
      <c r="G62" s="233">
        <v>4</v>
      </c>
      <c r="H62" s="233">
        <v>4</v>
      </c>
      <c r="I62" s="233">
        <v>4</v>
      </c>
      <c r="J62" s="232">
        <f>SUM(C$7*B62*C62+D$7*B62*D62+E$7*B62*E62+F$7*B62*F62+G$7*B62*G62+H$7*B62*H62+I$7*B62*I62)</f>
        <v>85.705199999999991</v>
      </c>
    </row>
    <row r="63" spans="1:19" s="158" customFormat="1" ht="11.4" hidden="1" outlineLevel="1" x14ac:dyDescent="0.2">
      <c r="A63" s="235" t="str">
        <f>'Inputs '!$A$22</f>
        <v>General Treatments</v>
      </c>
      <c r="B63" s="234">
        <f>'Inputs '!B22</f>
        <v>0.1</v>
      </c>
      <c r="C63" s="233">
        <v>1</v>
      </c>
      <c r="D63" s="233">
        <v>1</v>
      </c>
      <c r="E63" s="233">
        <v>1</v>
      </c>
      <c r="F63" s="233">
        <v>1</v>
      </c>
      <c r="G63" s="233">
        <v>1</v>
      </c>
      <c r="H63" s="233">
        <v>1</v>
      </c>
      <c r="I63" s="233">
        <v>1</v>
      </c>
      <c r="J63" s="232">
        <f>SUM(C$7*B63*C63+D$7*B63*D63+E$7*B63*E63+F$7*B63*F63+G$7*B63*G63+H$7*B63*H63+I$7*B63*I63)</f>
        <v>17.855250000000002</v>
      </c>
    </row>
    <row r="64" spans="1:19" s="158" customFormat="1" ht="11.4" hidden="1" outlineLevel="1" x14ac:dyDescent="0.2">
      <c r="A64" s="235" t="str">
        <f>'Inputs '!$A$23</f>
        <v>Supavax</v>
      </c>
      <c r="B64" s="234">
        <f>'Inputs '!B23</f>
        <v>0.83</v>
      </c>
      <c r="C64" s="233"/>
      <c r="D64" s="233"/>
      <c r="E64" s="233"/>
      <c r="F64" s="233"/>
      <c r="G64" s="233"/>
      <c r="H64" s="233"/>
      <c r="I64" s="233"/>
      <c r="J64" s="232">
        <f t="shared" ref="J64:J77" si="22">SUM(C$7*B64*C64+D$7*B64*D64+E$7*B64*E64+F$7*B64*F64+G$7*B64*G64+H$7*B64*H64+I$7*B64*I64)</f>
        <v>0</v>
      </c>
    </row>
    <row r="65" spans="1:18" s="158" customFormat="1" ht="11.4" hidden="1" outlineLevel="1" x14ac:dyDescent="0.2">
      <c r="A65" s="235" t="str">
        <f>'Inputs '!$A$24</f>
        <v>S19 Brucelosis</v>
      </c>
      <c r="B65" s="234">
        <f>'Inputs '!B24</f>
        <v>1.49</v>
      </c>
      <c r="C65" s="233"/>
      <c r="D65" s="233"/>
      <c r="E65" s="233"/>
      <c r="F65" s="233"/>
      <c r="G65" s="233"/>
      <c r="H65" s="233"/>
      <c r="I65" s="233"/>
      <c r="J65" s="232">
        <f t="shared" si="22"/>
        <v>0</v>
      </c>
    </row>
    <row r="66" spans="1:18" s="158" customFormat="1" ht="11.4" hidden="1" outlineLevel="1" x14ac:dyDescent="0.2">
      <c r="A66" s="235" t="str">
        <f>'Inputs '!$A$25</f>
        <v>Vibrin</v>
      </c>
      <c r="B66" s="234">
        <f>'Inputs '!B25</f>
        <v>1.3</v>
      </c>
      <c r="C66" s="233"/>
      <c r="D66" s="233"/>
      <c r="E66" s="233"/>
      <c r="F66" s="233"/>
      <c r="G66" s="233"/>
      <c r="H66" s="233"/>
      <c r="I66" s="233"/>
      <c r="J66" s="232">
        <f t="shared" si="22"/>
        <v>0</v>
      </c>
    </row>
    <row r="67" spans="1:18" s="158" customFormat="1" ht="11.4" hidden="1" outlineLevel="1" x14ac:dyDescent="0.2">
      <c r="A67" s="235" t="str">
        <f>'Inputs '!$A$26</f>
        <v>Lumpyvax</v>
      </c>
      <c r="B67" s="234">
        <f>'Inputs '!B26</f>
        <v>0.7</v>
      </c>
      <c r="C67" s="233"/>
      <c r="D67" s="233"/>
      <c r="E67" s="233"/>
      <c r="F67" s="233"/>
      <c r="G67" s="233"/>
      <c r="H67" s="233"/>
      <c r="I67" s="233"/>
      <c r="J67" s="232">
        <f t="shared" si="22"/>
        <v>0</v>
      </c>
    </row>
    <row r="68" spans="1:18" s="158" customFormat="1" ht="11.4" hidden="1" outlineLevel="1" x14ac:dyDescent="0.2">
      <c r="A68" s="235" t="str">
        <f>'Inputs '!$A$27</f>
        <v>Bimectin</v>
      </c>
      <c r="B68" s="234">
        <f>'Inputs '!B27</f>
        <v>0.66</v>
      </c>
      <c r="C68" s="233"/>
      <c r="D68" s="233"/>
      <c r="E68" s="233"/>
      <c r="F68" s="233"/>
      <c r="G68" s="233"/>
      <c r="H68" s="233"/>
      <c r="I68" s="233"/>
      <c r="J68" s="232">
        <f t="shared" si="22"/>
        <v>0</v>
      </c>
    </row>
    <row r="69" spans="1:18" s="158" customFormat="1" ht="11.4" hidden="1" outlineLevel="1" x14ac:dyDescent="0.2">
      <c r="A69" s="235" t="str">
        <f>'Inputs '!$A$28</f>
        <v>Multimin</v>
      </c>
      <c r="B69" s="234">
        <f>'Inputs '!B28</f>
        <v>0.2</v>
      </c>
      <c r="C69" s="233"/>
      <c r="D69" s="233"/>
      <c r="E69" s="233"/>
      <c r="F69" s="233"/>
      <c r="G69" s="233"/>
      <c r="H69" s="233"/>
      <c r="I69" s="233"/>
      <c r="J69" s="232">
        <f t="shared" si="22"/>
        <v>0</v>
      </c>
    </row>
    <row r="70" spans="1:18" s="158" customFormat="1" ht="11.4" hidden="1" outlineLevel="1" x14ac:dyDescent="0.2">
      <c r="A70" s="235" t="str">
        <f>'Inputs '!$A$29</f>
        <v>Bull Testing</v>
      </c>
      <c r="B70" s="234">
        <f>'Inputs '!B29</f>
        <v>50</v>
      </c>
      <c r="C70" s="233"/>
      <c r="D70" s="233"/>
      <c r="E70" s="233"/>
      <c r="F70" s="233"/>
      <c r="G70" s="233"/>
      <c r="H70" s="233"/>
      <c r="I70" s="233"/>
      <c r="J70" s="232">
        <f t="shared" si="22"/>
        <v>0</v>
      </c>
    </row>
    <row r="71" spans="1:18" s="158" customFormat="1" ht="11.4" hidden="1" outlineLevel="1" x14ac:dyDescent="0.2">
      <c r="A71" s="235" t="str">
        <f>'Inputs '!$A$30</f>
        <v xml:space="preserve">Ear Tags </v>
      </c>
      <c r="B71" s="234">
        <f>'Inputs '!B30</f>
        <v>6</v>
      </c>
      <c r="C71" s="233"/>
      <c r="D71" s="233"/>
      <c r="E71" s="233"/>
      <c r="F71" s="233"/>
      <c r="G71" s="233"/>
      <c r="H71" s="233"/>
      <c r="I71" s="233">
        <v>1</v>
      </c>
      <c r="J71" s="232">
        <f t="shared" si="22"/>
        <v>448.875</v>
      </c>
    </row>
    <row r="72" spans="1:18" s="158" customFormat="1" ht="11.4" hidden="1" outlineLevel="1" x14ac:dyDescent="0.2">
      <c r="A72" s="235" t="str">
        <f>'Inputs '!$A$31</f>
        <v>Flucazole</v>
      </c>
      <c r="B72" s="234">
        <f>'Inputs '!B31</f>
        <v>0.93</v>
      </c>
      <c r="C72" s="233"/>
      <c r="D72" s="233"/>
      <c r="E72" s="233"/>
      <c r="F72" s="233"/>
      <c r="G72" s="233"/>
      <c r="H72" s="233"/>
      <c r="I72" s="233"/>
      <c r="J72" s="232">
        <f t="shared" si="22"/>
        <v>0</v>
      </c>
    </row>
    <row r="73" spans="1:18" s="158" customFormat="1" ht="11.4" hidden="1" outlineLevel="1" x14ac:dyDescent="0.2">
      <c r="A73" s="235" t="str">
        <f>'Inputs '!$A$32</f>
        <v>-</v>
      </c>
      <c r="B73" s="234">
        <f>'Inputs '!B32</f>
        <v>0</v>
      </c>
      <c r="C73" s="233"/>
      <c r="D73" s="233"/>
      <c r="E73" s="233"/>
      <c r="F73" s="233"/>
      <c r="G73" s="233"/>
      <c r="H73" s="233"/>
      <c r="I73" s="233"/>
      <c r="J73" s="232">
        <f t="shared" si="22"/>
        <v>0</v>
      </c>
    </row>
    <row r="74" spans="1:18" s="158" customFormat="1" ht="11.4" hidden="1" outlineLevel="1" x14ac:dyDescent="0.2">
      <c r="A74" s="235" t="str">
        <f>'Inputs '!$A$33</f>
        <v>-</v>
      </c>
      <c r="B74" s="234">
        <f>'Inputs '!B33</f>
        <v>0</v>
      </c>
      <c r="C74" s="233"/>
      <c r="D74" s="233"/>
      <c r="E74" s="233"/>
      <c r="F74" s="233"/>
      <c r="G74" s="233"/>
      <c r="H74" s="233"/>
      <c r="I74" s="233"/>
      <c r="J74" s="232">
        <f t="shared" si="22"/>
        <v>0</v>
      </c>
    </row>
    <row r="75" spans="1:18" s="158" customFormat="1" ht="11.4" hidden="1" outlineLevel="1" x14ac:dyDescent="0.2">
      <c r="A75" s="235" t="str">
        <f>'Inputs '!$A$34</f>
        <v>-</v>
      </c>
      <c r="B75" s="234">
        <f>'Inputs '!B34</f>
        <v>0</v>
      </c>
      <c r="C75" s="233"/>
      <c r="D75" s="233"/>
      <c r="E75" s="233"/>
      <c r="F75" s="233"/>
      <c r="G75" s="233"/>
      <c r="H75" s="233"/>
      <c r="I75" s="233"/>
      <c r="J75" s="232">
        <f t="shared" si="22"/>
        <v>0</v>
      </c>
    </row>
    <row r="76" spans="1:18" s="158" customFormat="1" ht="11.4" hidden="1" outlineLevel="1" x14ac:dyDescent="0.2">
      <c r="A76" s="235" t="str">
        <f>'Inputs '!$A$35</f>
        <v>-</v>
      </c>
      <c r="B76" s="234">
        <f>'Inputs '!B35</f>
        <v>0</v>
      </c>
      <c r="C76" s="233"/>
      <c r="D76" s="233"/>
      <c r="E76" s="233"/>
      <c r="F76" s="233"/>
      <c r="G76" s="233"/>
      <c r="H76" s="233"/>
      <c r="I76" s="233"/>
      <c r="J76" s="232">
        <f t="shared" si="22"/>
        <v>0</v>
      </c>
    </row>
    <row r="77" spans="1:18" s="158" customFormat="1" ht="11.4" hidden="1" outlineLevel="1" x14ac:dyDescent="0.2">
      <c r="A77" s="235" t="str">
        <f>'Inputs '!A36</f>
        <v>-</v>
      </c>
      <c r="B77" s="234">
        <f>'Inputs '!B36</f>
        <v>0</v>
      </c>
      <c r="C77" s="233"/>
      <c r="D77" s="233"/>
      <c r="E77" s="233"/>
      <c r="F77" s="233"/>
      <c r="G77" s="233"/>
      <c r="H77" s="233"/>
      <c r="I77" s="233"/>
      <c r="J77" s="232">
        <f t="shared" si="22"/>
        <v>0</v>
      </c>
    </row>
    <row r="78" spans="1:18" s="158" customFormat="1" ht="15" customHeight="1" collapsed="1" x14ac:dyDescent="0.25">
      <c r="A78" s="231" t="s">
        <v>296</v>
      </c>
      <c r="B78" s="147"/>
      <c r="C78" s="146">
        <f>SUM($B$62*C62+$B$63*C63+$B$64*C64+$B$65*C65+$B$66*C66+$B$67*C67+$B$68*C68+$B$69*C69+C70*$B$70+$B$71*C71+$B$72*C72+$B$73*C73+$B$74*C74+$B$75*C75+$B$76*C76+$B$77*C77)</f>
        <v>0.57999999999999996</v>
      </c>
      <c r="D78" s="146">
        <f t="shared" ref="D78:H78" si="23">SUM($B$62*D62+$B$63*D63+$B$64*D64+$B$65*D65+$B$66*D66+$B$67*D67+$B$68*D68+$B$69*D69+D70*$B$70+$B$71*D71+$B$72*D72+$B$73*D73+$B$74*D74+$B$75*D75+$B$76*D76+$B$77*D77)</f>
        <v>0.57999999999999996</v>
      </c>
      <c r="E78" s="146">
        <f t="shared" si="23"/>
        <v>0.57999999999999996</v>
      </c>
      <c r="F78" s="146">
        <f t="shared" si="23"/>
        <v>0.57999999999999996</v>
      </c>
      <c r="G78" s="146">
        <f t="shared" si="23"/>
        <v>0.57999999999999996</v>
      </c>
      <c r="H78" s="146">
        <f t="shared" si="23"/>
        <v>0.57999999999999996</v>
      </c>
      <c r="I78" s="146">
        <f>SUM($B$62*I62+$B$63*I63+$B$64*I64+$B$65*I65+$B$66*I66+$B$67*I67+$B$68*I68+$B$69*I69+I70*$B$70+$B$71*I71+$B$72*I72+$B$73*I73+$B$74*I74+$B$75*I75+$B$76*I76+$B$77*I77)</f>
        <v>6.58</v>
      </c>
      <c r="J78" s="178">
        <f>SUM(J62:J71)</f>
        <v>552.43544999999995</v>
      </c>
    </row>
    <row r="79" spans="1:18" s="158" customFormat="1" ht="12" x14ac:dyDescent="0.25">
      <c r="A79" s="160"/>
      <c r="B79" s="160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</row>
    <row r="80" spans="1:18" x14ac:dyDescent="0.3">
      <c r="A80" s="157" t="s">
        <v>312</v>
      </c>
      <c r="B80" s="156">
        <v>28</v>
      </c>
      <c r="C80" s="155"/>
      <c r="D80" s="155"/>
      <c r="E80" s="155"/>
      <c r="F80" s="155"/>
      <c r="G80" s="155"/>
      <c r="H80" s="155"/>
      <c r="I80" s="155"/>
      <c r="J80" s="155"/>
      <c r="K80" s="158"/>
      <c r="L80" s="158"/>
      <c r="M80" s="158"/>
      <c r="N80" s="158"/>
      <c r="O80" s="158"/>
      <c r="P80" s="158"/>
      <c r="Q80" s="158"/>
      <c r="R80" s="158"/>
    </row>
    <row r="81" spans="1:18" ht="36.6" x14ac:dyDescent="0.3">
      <c r="A81" s="154" t="s">
        <v>292</v>
      </c>
      <c r="B81" s="153" t="s">
        <v>332</v>
      </c>
      <c r="C81" s="617" t="s">
        <v>331</v>
      </c>
      <c r="D81" s="617"/>
      <c r="E81" s="617"/>
      <c r="F81" s="617"/>
      <c r="G81" s="617"/>
      <c r="H81" s="617"/>
      <c r="I81" s="617"/>
      <c r="J81" s="161" t="s">
        <v>330</v>
      </c>
      <c r="K81" s="145"/>
      <c r="L81" s="145"/>
      <c r="M81" s="145"/>
      <c r="N81" s="145"/>
      <c r="O81" s="145"/>
      <c r="P81" s="145"/>
      <c r="Q81" s="145"/>
      <c r="R81" s="145"/>
    </row>
    <row r="82" spans="1:18" hidden="1" outlineLevel="1" x14ac:dyDescent="0.3">
      <c r="A82" s="235" t="str">
        <f>'Inputs '!$A$21</f>
        <v>Supa-Dip</v>
      </c>
      <c r="B82" s="234">
        <f>'Inputs '!C21</f>
        <v>0.12</v>
      </c>
      <c r="C82" s="233">
        <v>4</v>
      </c>
      <c r="D82" s="233">
        <v>4</v>
      </c>
      <c r="E82" s="233">
        <v>4</v>
      </c>
      <c r="F82" s="233">
        <v>4</v>
      </c>
      <c r="G82" s="233">
        <v>4</v>
      </c>
      <c r="H82" s="233">
        <v>4</v>
      </c>
      <c r="I82" s="233">
        <v>4</v>
      </c>
      <c r="J82" s="232">
        <f>SUM(C$8*B82*C82+D$8*B82*D82+E$8*B82*E82+F$8*B82*F82+G$8*B82*G82+H$8*B82*H82+I$8*B82*I82)</f>
        <v>85.490937000000002</v>
      </c>
      <c r="K82" s="145"/>
      <c r="L82" s="145"/>
      <c r="M82" s="145"/>
      <c r="N82" s="145"/>
      <c r="O82" s="145"/>
      <c r="P82" s="145"/>
      <c r="Q82" s="145"/>
      <c r="R82" s="145"/>
    </row>
    <row r="83" spans="1:18" hidden="1" outlineLevel="1" x14ac:dyDescent="0.3">
      <c r="A83" s="235" t="str">
        <f>'Inputs '!$A$22</f>
        <v>General Treatments</v>
      </c>
      <c r="B83" s="234">
        <f>'Inputs '!C22</f>
        <v>0.1</v>
      </c>
      <c r="C83" s="233">
        <v>1</v>
      </c>
      <c r="D83" s="233">
        <v>1</v>
      </c>
      <c r="E83" s="233">
        <v>1</v>
      </c>
      <c r="F83" s="233">
        <v>1</v>
      </c>
      <c r="G83" s="233">
        <v>1</v>
      </c>
      <c r="H83" s="233">
        <v>1</v>
      </c>
      <c r="I83" s="233">
        <v>1</v>
      </c>
      <c r="J83" s="232">
        <f t="shared" ref="J83:J97" si="24">SUM(C$8*B83*C83+D$8*B83*D83+E$8*B83*E83+F$8*B83*F83+G$8*B83*G83+H$8*B83*H83+I$8*B83*I83)</f>
        <v>17.810611875000003</v>
      </c>
      <c r="K83" s="145"/>
      <c r="L83" s="145"/>
      <c r="M83" s="145"/>
      <c r="N83" s="145"/>
      <c r="O83" s="145"/>
      <c r="P83" s="145"/>
      <c r="Q83" s="145"/>
      <c r="R83" s="145"/>
    </row>
    <row r="84" spans="1:18" hidden="1" outlineLevel="1" x14ac:dyDescent="0.3">
      <c r="A84" s="235" t="str">
        <f>'Inputs '!$A$23</f>
        <v>Supavax</v>
      </c>
      <c r="B84" s="234">
        <f>'Inputs '!C23</f>
        <v>0.83</v>
      </c>
      <c r="C84" s="233">
        <v>1</v>
      </c>
      <c r="D84" s="233">
        <v>1</v>
      </c>
      <c r="E84" s="233">
        <v>1</v>
      </c>
      <c r="F84" s="233">
        <v>1</v>
      </c>
      <c r="G84" s="233">
        <v>1</v>
      </c>
      <c r="H84" s="233">
        <v>1</v>
      </c>
      <c r="I84" s="233">
        <v>1</v>
      </c>
      <c r="J84" s="232">
        <f t="shared" si="24"/>
        <v>147.8280785625</v>
      </c>
      <c r="K84" s="145"/>
      <c r="L84" s="145"/>
      <c r="M84" s="145"/>
      <c r="N84" s="145"/>
      <c r="O84" s="145"/>
      <c r="P84" s="145"/>
      <c r="Q84" s="145"/>
      <c r="R84" s="145"/>
    </row>
    <row r="85" spans="1:18" hidden="1" outlineLevel="1" x14ac:dyDescent="0.3">
      <c r="A85" s="235" t="str">
        <f>'Inputs '!$A$24</f>
        <v>S19 Brucelosis</v>
      </c>
      <c r="B85" s="234">
        <f>'Inputs '!C24</f>
        <v>1.49</v>
      </c>
      <c r="C85" s="233"/>
      <c r="D85" s="233"/>
      <c r="E85" s="233"/>
      <c r="F85" s="233"/>
      <c r="G85" s="233"/>
      <c r="H85" s="233"/>
      <c r="I85" s="233"/>
      <c r="J85" s="232">
        <f t="shared" si="24"/>
        <v>0</v>
      </c>
      <c r="K85" s="145"/>
      <c r="L85" s="145"/>
      <c r="M85" s="145"/>
      <c r="N85" s="145"/>
      <c r="O85" s="145"/>
      <c r="P85" s="145"/>
      <c r="Q85" s="145"/>
      <c r="R85" s="145"/>
    </row>
    <row r="86" spans="1:18" hidden="1" outlineLevel="1" x14ac:dyDescent="0.3">
      <c r="A86" s="235" t="str">
        <f>'Inputs '!$A$25</f>
        <v>Vibrin</v>
      </c>
      <c r="B86" s="234">
        <f>'Inputs '!C25</f>
        <v>1.3</v>
      </c>
      <c r="C86" s="233"/>
      <c r="D86" s="233"/>
      <c r="E86" s="233"/>
      <c r="F86" s="233"/>
      <c r="G86" s="233"/>
      <c r="H86" s="233"/>
      <c r="I86" s="233"/>
      <c r="J86" s="232">
        <f t="shared" si="24"/>
        <v>0</v>
      </c>
      <c r="K86" s="145"/>
      <c r="L86" s="145"/>
      <c r="M86" s="145"/>
      <c r="N86" s="145"/>
      <c r="O86" s="145"/>
      <c r="P86" s="145"/>
      <c r="Q86" s="145"/>
      <c r="R86" s="145"/>
    </row>
    <row r="87" spans="1:18" hidden="1" outlineLevel="1" x14ac:dyDescent="0.3">
      <c r="A87" s="235" t="str">
        <f>'Inputs '!$A$26</f>
        <v>Lumpyvax</v>
      </c>
      <c r="B87" s="234">
        <f>'Inputs '!C26</f>
        <v>0.7</v>
      </c>
      <c r="C87" s="233">
        <v>1</v>
      </c>
      <c r="D87" s="233">
        <v>1</v>
      </c>
      <c r="E87" s="233">
        <v>1</v>
      </c>
      <c r="F87" s="233">
        <v>1</v>
      </c>
      <c r="G87" s="233">
        <v>1</v>
      </c>
      <c r="H87" s="233">
        <v>1</v>
      </c>
      <c r="I87" s="233">
        <v>1</v>
      </c>
      <c r="J87" s="232">
        <f t="shared" si="24"/>
        <v>124.67428312499999</v>
      </c>
      <c r="K87" s="145"/>
      <c r="L87" s="145"/>
      <c r="M87" s="145"/>
      <c r="N87" s="145"/>
      <c r="O87" s="145"/>
      <c r="P87" s="145"/>
      <c r="Q87" s="145"/>
      <c r="R87" s="145"/>
    </row>
    <row r="88" spans="1:18" hidden="1" outlineLevel="1" x14ac:dyDescent="0.3">
      <c r="A88" s="235" t="str">
        <f>'Inputs '!$A$27</f>
        <v>Bimectin</v>
      </c>
      <c r="B88" s="234">
        <f>'Inputs '!C27</f>
        <v>0.66</v>
      </c>
      <c r="C88" s="233"/>
      <c r="D88" s="233"/>
      <c r="E88" s="233"/>
      <c r="F88" s="233"/>
      <c r="G88" s="233"/>
      <c r="H88" s="233"/>
      <c r="I88" s="233"/>
      <c r="J88" s="232">
        <f t="shared" si="24"/>
        <v>0</v>
      </c>
      <c r="K88" s="145"/>
      <c r="L88" s="145"/>
      <c r="M88" s="145"/>
      <c r="N88" s="145"/>
      <c r="O88" s="145"/>
      <c r="P88" s="145"/>
      <c r="Q88" s="145"/>
      <c r="R88" s="145"/>
    </row>
    <row r="89" spans="1:18" hidden="1" outlineLevel="1" x14ac:dyDescent="0.3">
      <c r="A89" s="235" t="str">
        <f>'Inputs '!$A$28</f>
        <v>Multimin</v>
      </c>
      <c r="B89" s="234">
        <f>'Inputs '!C28</f>
        <v>0.2</v>
      </c>
      <c r="C89" s="233"/>
      <c r="D89" s="233"/>
      <c r="E89" s="233"/>
      <c r="F89" s="233"/>
      <c r="G89" s="233"/>
      <c r="H89" s="233"/>
      <c r="I89" s="233"/>
      <c r="J89" s="232">
        <f t="shared" si="24"/>
        <v>0</v>
      </c>
      <c r="K89" s="145"/>
      <c r="L89" s="145"/>
      <c r="M89" s="145"/>
      <c r="N89" s="145"/>
      <c r="O89" s="145"/>
      <c r="P89" s="145"/>
      <c r="Q89" s="145"/>
      <c r="R89" s="145"/>
    </row>
    <row r="90" spans="1:18" hidden="1" outlineLevel="1" x14ac:dyDescent="0.3">
      <c r="A90" s="235" t="str">
        <f>'Inputs '!$A$29</f>
        <v>Bull Testing</v>
      </c>
      <c r="B90" s="234">
        <f>'Inputs '!C29</f>
        <v>50</v>
      </c>
      <c r="C90" s="233"/>
      <c r="D90" s="233"/>
      <c r="E90" s="233"/>
      <c r="F90" s="233"/>
      <c r="G90" s="233"/>
      <c r="H90" s="233"/>
      <c r="I90" s="233"/>
      <c r="J90" s="232">
        <f t="shared" si="24"/>
        <v>0</v>
      </c>
      <c r="K90" s="145"/>
      <c r="L90" s="145"/>
      <c r="M90" s="145"/>
      <c r="N90" s="145"/>
      <c r="O90" s="145"/>
      <c r="P90" s="145"/>
      <c r="Q90" s="145"/>
      <c r="R90" s="145"/>
    </row>
    <row r="91" spans="1:18" hidden="1" outlineLevel="1" x14ac:dyDescent="0.3">
      <c r="A91" s="235" t="str">
        <f>'Inputs '!$A$30</f>
        <v xml:space="preserve">Ear Tags </v>
      </c>
      <c r="B91" s="234">
        <f>'Inputs '!C30</f>
        <v>6</v>
      </c>
      <c r="C91" s="233"/>
      <c r="D91" s="233"/>
      <c r="E91" s="233"/>
      <c r="F91" s="233"/>
      <c r="G91" s="233"/>
      <c r="H91" s="233"/>
      <c r="I91" s="233"/>
      <c r="J91" s="232">
        <f t="shared" si="24"/>
        <v>0</v>
      </c>
      <c r="K91" s="145"/>
      <c r="L91" s="145"/>
      <c r="M91" s="145"/>
      <c r="N91" s="145"/>
      <c r="O91" s="145"/>
      <c r="P91" s="145"/>
      <c r="Q91" s="145"/>
      <c r="R91" s="145"/>
    </row>
    <row r="92" spans="1:18" hidden="1" outlineLevel="1" x14ac:dyDescent="0.3">
      <c r="A92" s="235" t="str">
        <f>'Inputs '!$A$31</f>
        <v>Flucazole</v>
      </c>
      <c r="B92" s="234">
        <f>'Inputs '!C31</f>
        <v>0.93</v>
      </c>
      <c r="C92" s="233"/>
      <c r="D92" s="233"/>
      <c r="E92" s="233"/>
      <c r="F92" s="233"/>
      <c r="G92" s="233"/>
      <c r="H92" s="233"/>
      <c r="I92" s="233"/>
      <c r="J92" s="232">
        <f t="shared" si="24"/>
        <v>0</v>
      </c>
      <c r="K92" s="145"/>
      <c r="L92" s="145"/>
      <c r="M92" s="145"/>
      <c r="N92" s="145"/>
      <c r="O92" s="145"/>
      <c r="P92" s="145"/>
      <c r="Q92" s="145"/>
      <c r="R92" s="145"/>
    </row>
    <row r="93" spans="1:18" hidden="1" outlineLevel="1" x14ac:dyDescent="0.3">
      <c r="A93" s="235" t="str">
        <f>'Inputs '!$A$32</f>
        <v>-</v>
      </c>
      <c r="B93" s="234">
        <f>'Inputs '!C32</f>
        <v>0</v>
      </c>
      <c r="C93" s="233"/>
      <c r="D93" s="233"/>
      <c r="E93" s="233"/>
      <c r="F93" s="233"/>
      <c r="G93" s="233"/>
      <c r="H93" s="233"/>
      <c r="I93" s="233"/>
      <c r="J93" s="232">
        <f t="shared" si="24"/>
        <v>0</v>
      </c>
      <c r="K93" s="145"/>
      <c r="L93" s="145"/>
      <c r="M93" s="145"/>
      <c r="N93" s="145"/>
      <c r="O93" s="145"/>
      <c r="P93" s="145"/>
      <c r="Q93" s="145"/>
      <c r="R93" s="145"/>
    </row>
    <row r="94" spans="1:18" hidden="1" outlineLevel="1" x14ac:dyDescent="0.3">
      <c r="A94" s="235" t="str">
        <f>'Inputs '!$A$33</f>
        <v>-</v>
      </c>
      <c r="B94" s="234">
        <f>'Inputs '!C33</f>
        <v>0</v>
      </c>
      <c r="C94" s="233"/>
      <c r="D94" s="233"/>
      <c r="E94" s="233"/>
      <c r="F94" s="233"/>
      <c r="G94" s="233"/>
      <c r="H94" s="233"/>
      <c r="I94" s="233"/>
      <c r="J94" s="232">
        <f t="shared" si="24"/>
        <v>0</v>
      </c>
      <c r="K94" s="145"/>
      <c r="L94" s="145"/>
      <c r="M94" s="145"/>
      <c r="N94" s="145"/>
      <c r="O94" s="145"/>
      <c r="P94" s="145"/>
      <c r="Q94" s="145"/>
      <c r="R94" s="145"/>
    </row>
    <row r="95" spans="1:18" hidden="1" outlineLevel="1" x14ac:dyDescent="0.3">
      <c r="A95" s="235" t="str">
        <f>'Inputs '!$A$34</f>
        <v>-</v>
      </c>
      <c r="B95" s="234">
        <f>'Inputs '!C34</f>
        <v>0</v>
      </c>
      <c r="C95" s="233"/>
      <c r="D95" s="233"/>
      <c r="E95" s="233"/>
      <c r="F95" s="233"/>
      <c r="G95" s="233"/>
      <c r="H95" s="233"/>
      <c r="I95" s="233"/>
      <c r="J95" s="232">
        <f t="shared" si="24"/>
        <v>0</v>
      </c>
      <c r="K95" s="145"/>
      <c r="L95" s="145"/>
      <c r="M95" s="145"/>
      <c r="N95" s="145"/>
      <c r="O95" s="145"/>
      <c r="P95" s="145"/>
      <c r="Q95" s="145"/>
      <c r="R95" s="145"/>
    </row>
    <row r="96" spans="1:18" hidden="1" outlineLevel="1" x14ac:dyDescent="0.3">
      <c r="A96" s="235" t="str">
        <f>'Inputs '!$A$35</f>
        <v>-</v>
      </c>
      <c r="B96" s="234">
        <f>'Inputs '!C35</f>
        <v>0</v>
      </c>
      <c r="C96" s="233"/>
      <c r="D96" s="233"/>
      <c r="E96" s="233"/>
      <c r="F96" s="233"/>
      <c r="G96" s="233"/>
      <c r="H96" s="233"/>
      <c r="I96" s="233"/>
      <c r="J96" s="232">
        <f t="shared" si="24"/>
        <v>0</v>
      </c>
      <c r="K96" s="145"/>
      <c r="L96" s="145"/>
      <c r="M96" s="145"/>
      <c r="N96" s="145"/>
      <c r="O96" s="145"/>
      <c r="P96" s="145"/>
      <c r="Q96" s="145"/>
      <c r="R96" s="145"/>
    </row>
    <row r="97" spans="1:18" hidden="1" outlineLevel="1" x14ac:dyDescent="0.3">
      <c r="A97" s="235" t="str">
        <f>'Inputs '!$A$36</f>
        <v>-</v>
      </c>
      <c r="B97" s="234">
        <f>'Inputs '!C36</f>
        <v>0</v>
      </c>
      <c r="C97" s="233"/>
      <c r="D97" s="233"/>
      <c r="E97" s="233"/>
      <c r="F97" s="233"/>
      <c r="G97" s="233"/>
      <c r="H97" s="233"/>
      <c r="I97" s="233"/>
      <c r="J97" s="232">
        <f t="shared" si="24"/>
        <v>0</v>
      </c>
      <c r="K97" s="145"/>
      <c r="L97" s="145"/>
      <c r="M97" s="145"/>
      <c r="N97" s="145"/>
      <c r="O97" s="145"/>
      <c r="P97" s="145"/>
      <c r="Q97" s="145"/>
      <c r="R97" s="145"/>
    </row>
    <row r="98" spans="1:18" collapsed="1" x14ac:dyDescent="0.3">
      <c r="A98" s="231" t="s">
        <v>296</v>
      </c>
      <c r="B98" s="147"/>
      <c r="C98" s="146">
        <f t="shared" ref="C98:I98" si="25">SUM($B$62*C82+$B$63*C83+$B$64*C84+$B$65*C85+$B$66*C86+$B$67*C87+$B$68*C88+$B$69*C89+C90*$B$70+$B$71*C91)</f>
        <v>2.11</v>
      </c>
      <c r="D98" s="146">
        <f t="shared" si="25"/>
        <v>2.11</v>
      </c>
      <c r="E98" s="146">
        <f t="shared" si="25"/>
        <v>2.11</v>
      </c>
      <c r="F98" s="146">
        <f t="shared" si="25"/>
        <v>2.11</v>
      </c>
      <c r="G98" s="146">
        <f t="shared" si="25"/>
        <v>2.11</v>
      </c>
      <c r="H98" s="146">
        <f t="shared" si="25"/>
        <v>2.11</v>
      </c>
      <c r="I98" s="146">
        <f t="shared" si="25"/>
        <v>2.11</v>
      </c>
      <c r="J98" s="178">
        <f>SUM(J82:J97)</f>
        <v>375.80391056249999</v>
      </c>
      <c r="K98" s="145"/>
      <c r="L98" s="145"/>
      <c r="M98" s="145"/>
      <c r="N98" s="145"/>
      <c r="O98" s="145"/>
      <c r="P98" s="145"/>
      <c r="Q98" s="145"/>
      <c r="R98" s="145"/>
    </row>
    <row r="99" spans="1:18" x14ac:dyDescent="0.3">
      <c r="A99" s="145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</row>
    <row r="100" spans="1:18" x14ac:dyDescent="0.3">
      <c r="A100" s="157" t="s">
        <v>310</v>
      </c>
      <c r="B100" s="156">
        <v>31</v>
      </c>
      <c r="C100" s="155"/>
      <c r="D100" s="155"/>
      <c r="E100" s="155"/>
      <c r="F100" s="155"/>
      <c r="G100" s="155"/>
      <c r="H100" s="155"/>
      <c r="I100" s="155"/>
      <c r="J100" s="155"/>
      <c r="K100" s="145"/>
      <c r="L100" s="145"/>
      <c r="M100" s="145"/>
      <c r="N100" s="145"/>
      <c r="O100" s="145"/>
      <c r="P100" s="145"/>
      <c r="Q100" s="145"/>
      <c r="R100" s="145"/>
    </row>
    <row r="101" spans="1:18" ht="36.6" x14ac:dyDescent="0.3">
      <c r="A101" s="154" t="s">
        <v>292</v>
      </c>
      <c r="B101" s="153" t="s">
        <v>332</v>
      </c>
      <c r="C101" s="617" t="s">
        <v>331</v>
      </c>
      <c r="D101" s="617"/>
      <c r="E101" s="617"/>
      <c r="F101" s="617"/>
      <c r="G101" s="617"/>
      <c r="H101" s="617"/>
      <c r="I101" s="617"/>
      <c r="J101" s="161" t="s">
        <v>330</v>
      </c>
      <c r="K101" s="145"/>
      <c r="L101" s="145"/>
      <c r="M101" s="145"/>
      <c r="N101" s="145"/>
      <c r="O101" s="145"/>
      <c r="P101" s="145"/>
      <c r="Q101" s="145"/>
      <c r="R101" s="145"/>
    </row>
    <row r="102" spans="1:18" hidden="1" outlineLevel="1" x14ac:dyDescent="0.3">
      <c r="A102" s="235" t="str">
        <f>'Inputs '!$A$21</f>
        <v>Supa-Dip</v>
      </c>
      <c r="B102" s="234">
        <f>'Inputs '!D21</f>
        <v>0.12</v>
      </c>
      <c r="C102" s="233">
        <v>4</v>
      </c>
      <c r="D102" s="233">
        <v>4</v>
      </c>
      <c r="E102" s="233">
        <v>4</v>
      </c>
      <c r="F102" s="233">
        <v>4</v>
      </c>
      <c r="G102" s="233">
        <v>4</v>
      </c>
      <c r="H102" s="233">
        <v>4</v>
      </c>
      <c r="I102" s="233">
        <v>4</v>
      </c>
      <c r="J102" s="232">
        <f>SUM(C$9*B102*C102+D$9*B102*D102+E$9*B102*E102+F$9*B102*F102+G$9*B102*G102+H$9*B102*H102+I$9*B102*I102)</f>
        <v>85.277209657499981</v>
      </c>
      <c r="K102" s="145"/>
      <c r="L102" s="145"/>
      <c r="M102" s="145"/>
      <c r="N102" s="145"/>
      <c r="O102" s="145"/>
      <c r="P102" s="145"/>
      <c r="Q102" s="145"/>
      <c r="R102" s="145"/>
    </row>
    <row r="103" spans="1:18" ht="15" hidden="1" customHeight="1" outlineLevel="1" x14ac:dyDescent="0.3">
      <c r="A103" s="235" t="str">
        <f>'Inputs '!$A$22</f>
        <v>General Treatments</v>
      </c>
      <c r="B103" s="234">
        <f>'Inputs '!D22</f>
        <v>0.1</v>
      </c>
      <c r="C103" s="233">
        <v>1</v>
      </c>
      <c r="D103" s="233">
        <v>1</v>
      </c>
      <c r="E103" s="233">
        <v>1</v>
      </c>
      <c r="F103" s="233">
        <v>1</v>
      </c>
      <c r="G103" s="233">
        <v>1</v>
      </c>
      <c r="H103" s="233">
        <v>1</v>
      </c>
      <c r="I103" s="233">
        <v>1</v>
      </c>
      <c r="J103" s="232">
        <f t="shared" ref="J103:J117" si="26">SUM(C$9*B103*C103+D$9*B103*D103+E$9*B103*E103+F$9*B103*F103+G$9*B103*G103+H$9*B103*H103+I$9*B103*I103)</f>
        <v>17.766085345312497</v>
      </c>
      <c r="K103" s="145"/>
      <c r="L103" s="145"/>
      <c r="M103" s="145"/>
      <c r="N103" s="145"/>
      <c r="O103" s="145"/>
      <c r="P103" s="145"/>
      <c r="Q103" s="145"/>
      <c r="R103" s="145"/>
    </row>
    <row r="104" spans="1:18" hidden="1" outlineLevel="1" x14ac:dyDescent="0.3">
      <c r="A104" s="235" t="str">
        <f>'Inputs '!$A$23</f>
        <v>Supavax</v>
      </c>
      <c r="B104" s="234">
        <f>'Inputs '!D23</f>
        <v>0.83</v>
      </c>
      <c r="C104" s="233"/>
      <c r="D104" s="233"/>
      <c r="E104" s="233"/>
      <c r="F104" s="233"/>
      <c r="G104" s="233"/>
      <c r="H104" s="233"/>
      <c r="I104" s="233"/>
      <c r="J104" s="232">
        <f t="shared" si="26"/>
        <v>0</v>
      </c>
      <c r="K104" s="145"/>
      <c r="L104" s="145"/>
      <c r="M104" s="145"/>
      <c r="N104" s="145"/>
      <c r="O104" s="145"/>
      <c r="P104" s="145"/>
      <c r="Q104" s="145"/>
      <c r="R104" s="145"/>
    </row>
    <row r="105" spans="1:18" hidden="1" outlineLevel="1" x14ac:dyDescent="0.3">
      <c r="A105" s="235" t="str">
        <f>'Inputs '!$A$24</f>
        <v>S19 Brucelosis</v>
      </c>
      <c r="B105" s="234">
        <f>'Inputs '!D24</f>
        <v>1.49</v>
      </c>
      <c r="C105" s="233"/>
      <c r="D105" s="233"/>
      <c r="E105" s="233"/>
      <c r="F105" s="233"/>
      <c r="G105" s="233"/>
      <c r="H105" s="233"/>
      <c r="I105" s="233"/>
      <c r="J105" s="232">
        <f t="shared" si="26"/>
        <v>0</v>
      </c>
      <c r="K105" s="158"/>
      <c r="L105" s="158"/>
      <c r="M105" s="158"/>
      <c r="N105" s="158"/>
      <c r="O105" s="158"/>
      <c r="P105" s="158"/>
      <c r="Q105" s="158"/>
      <c r="R105" s="158"/>
    </row>
    <row r="106" spans="1:18" hidden="1" outlineLevel="1" x14ac:dyDescent="0.3">
      <c r="A106" s="235" t="str">
        <f>'Inputs '!$A$25</f>
        <v>Vibrin</v>
      </c>
      <c r="B106" s="234">
        <f>'Inputs '!D25</f>
        <v>1.3</v>
      </c>
      <c r="C106" s="233"/>
      <c r="D106" s="233"/>
      <c r="E106" s="233"/>
      <c r="F106" s="233"/>
      <c r="G106" s="233"/>
      <c r="H106" s="233"/>
      <c r="I106" s="233"/>
      <c r="J106" s="232">
        <f t="shared" si="26"/>
        <v>0</v>
      </c>
      <c r="K106" s="145"/>
      <c r="L106" s="145"/>
      <c r="M106" s="145"/>
      <c r="N106" s="145"/>
      <c r="O106" s="145"/>
      <c r="P106" s="145"/>
      <c r="Q106" s="145"/>
      <c r="R106" s="145"/>
    </row>
    <row r="107" spans="1:18" hidden="1" outlineLevel="1" x14ac:dyDescent="0.3">
      <c r="A107" s="235" t="str">
        <f>'Inputs '!$A$26</f>
        <v>Lumpyvax</v>
      </c>
      <c r="B107" s="234">
        <f>'Inputs '!D26</f>
        <v>0.7</v>
      </c>
      <c r="C107" s="233"/>
      <c r="D107" s="233"/>
      <c r="E107" s="233"/>
      <c r="F107" s="233"/>
      <c r="G107" s="233"/>
      <c r="H107" s="233"/>
      <c r="I107" s="233"/>
      <c r="J107" s="232">
        <f t="shared" si="26"/>
        <v>0</v>
      </c>
      <c r="K107" s="145"/>
      <c r="L107" s="145"/>
      <c r="M107" s="145"/>
      <c r="N107" s="145"/>
      <c r="O107" s="145"/>
      <c r="P107" s="145"/>
      <c r="Q107" s="145"/>
      <c r="R107" s="145"/>
    </row>
    <row r="108" spans="1:18" hidden="1" outlineLevel="1" x14ac:dyDescent="0.3">
      <c r="A108" s="235" t="str">
        <f>'Inputs '!$A$27</f>
        <v>Bimectin</v>
      </c>
      <c r="B108" s="234">
        <f>'Inputs '!D27</f>
        <v>0.66</v>
      </c>
      <c r="C108" s="233"/>
      <c r="D108" s="233"/>
      <c r="E108" s="233"/>
      <c r="F108" s="233"/>
      <c r="G108" s="233"/>
      <c r="H108" s="233"/>
      <c r="I108" s="233"/>
      <c r="J108" s="232">
        <f t="shared" si="26"/>
        <v>0</v>
      </c>
      <c r="K108" s="145"/>
      <c r="L108" s="145"/>
      <c r="M108" s="145"/>
      <c r="N108" s="145"/>
      <c r="O108" s="145"/>
      <c r="P108" s="145"/>
      <c r="Q108" s="145"/>
      <c r="R108" s="145"/>
    </row>
    <row r="109" spans="1:18" hidden="1" outlineLevel="1" x14ac:dyDescent="0.3">
      <c r="A109" s="235" t="str">
        <f>'Inputs '!$A$28</f>
        <v>Multimin</v>
      </c>
      <c r="B109" s="234">
        <f>'Inputs '!D28</f>
        <v>0.2</v>
      </c>
      <c r="C109" s="233"/>
      <c r="D109" s="233"/>
      <c r="E109" s="233"/>
      <c r="F109" s="233"/>
      <c r="G109" s="233"/>
      <c r="H109" s="233"/>
      <c r="I109" s="233"/>
      <c r="J109" s="232">
        <f t="shared" si="26"/>
        <v>0</v>
      </c>
      <c r="K109" s="145"/>
      <c r="L109" s="145"/>
      <c r="M109" s="145"/>
      <c r="N109" s="145"/>
      <c r="O109" s="145"/>
      <c r="P109" s="145"/>
      <c r="Q109" s="145"/>
      <c r="R109" s="145"/>
    </row>
    <row r="110" spans="1:18" hidden="1" outlineLevel="1" x14ac:dyDescent="0.3">
      <c r="A110" s="235" t="str">
        <f>'Inputs '!$A$29</f>
        <v>Bull Testing</v>
      </c>
      <c r="B110" s="234">
        <f>'Inputs '!D29</f>
        <v>50</v>
      </c>
      <c r="C110" s="233"/>
      <c r="D110" s="233"/>
      <c r="E110" s="233"/>
      <c r="F110" s="233"/>
      <c r="G110" s="233"/>
      <c r="H110" s="233"/>
      <c r="I110" s="233"/>
      <c r="J110" s="232">
        <f t="shared" si="26"/>
        <v>0</v>
      </c>
      <c r="K110" s="145"/>
      <c r="L110" s="145"/>
      <c r="M110" s="145"/>
      <c r="N110" s="145"/>
      <c r="O110" s="145"/>
      <c r="P110" s="145"/>
      <c r="Q110" s="145"/>
      <c r="R110" s="145"/>
    </row>
    <row r="111" spans="1:18" hidden="1" outlineLevel="1" x14ac:dyDescent="0.3">
      <c r="A111" s="235" t="str">
        <f>'Inputs '!$A$30</f>
        <v xml:space="preserve">Ear Tags </v>
      </c>
      <c r="B111" s="234">
        <f>'Inputs '!D30</f>
        <v>6</v>
      </c>
      <c r="C111" s="233"/>
      <c r="D111" s="233"/>
      <c r="E111" s="233"/>
      <c r="F111" s="233"/>
      <c r="G111" s="233"/>
      <c r="H111" s="233"/>
      <c r="I111" s="233"/>
      <c r="J111" s="232">
        <f t="shared" si="26"/>
        <v>0</v>
      </c>
      <c r="K111" s="145"/>
      <c r="L111" s="145"/>
      <c r="M111" s="145"/>
      <c r="N111" s="145"/>
      <c r="O111" s="145"/>
      <c r="P111" s="145"/>
      <c r="Q111" s="145"/>
      <c r="R111" s="145"/>
    </row>
    <row r="112" spans="1:18" hidden="1" outlineLevel="1" x14ac:dyDescent="0.3">
      <c r="A112" s="235" t="str">
        <f>'Inputs '!$A$31</f>
        <v>Flucazole</v>
      </c>
      <c r="B112" s="234">
        <f>'Inputs '!D31</f>
        <v>0.93</v>
      </c>
      <c r="C112" s="233"/>
      <c r="D112" s="233"/>
      <c r="E112" s="233"/>
      <c r="F112" s="233"/>
      <c r="G112" s="233"/>
      <c r="H112" s="233"/>
      <c r="I112" s="233"/>
      <c r="J112" s="232">
        <f t="shared" si="26"/>
        <v>0</v>
      </c>
      <c r="K112" s="145"/>
      <c r="L112" s="145"/>
      <c r="M112" s="145"/>
      <c r="N112" s="145"/>
      <c r="O112" s="145"/>
      <c r="P112" s="145"/>
      <c r="Q112" s="145"/>
      <c r="R112" s="145"/>
    </row>
    <row r="113" spans="1:18" hidden="1" outlineLevel="1" x14ac:dyDescent="0.3">
      <c r="A113" s="235" t="str">
        <f>'Inputs '!$A$32</f>
        <v>-</v>
      </c>
      <c r="B113" s="234">
        <f>'Inputs '!D32</f>
        <v>0</v>
      </c>
      <c r="C113" s="233"/>
      <c r="D113" s="233"/>
      <c r="E113" s="233"/>
      <c r="F113" s="233"/>
      <c r="G113" s="233"/>
      <c r="H113" s="233"/>
      <c r="I113" s="233"/>
      <c r="J113" s="232">
        <f t="shared" si="26"/>
        <v>0</v>
      </c>
      <c r="K113" s="145"/>
      <c r="L113" s="145"/>
      <c r="M113" s="145"/>
      <c r="N113" s="145"/>
      <c r="O113" s="145"/>
      <c r="P113" s="145"/>
      <c r="Q113" s="145"/>
      <c r="R113" s="145"/>
    </row>
    <row r="114" spans="1:18" hidden="1" outlineLevel="1" x14ac:dyDescent="0.3">
      <c r="A114" s="235" t="str">
        <f>'Inputs '!$A$33</f>
        <v>-</v>
      </c>
      <c r="B114" s="234">
        <f>'Inputs '!D33</f>
        <v>0</v>
      </c>
      <c r="C114" s="233"/>
      <c r="D114" s="233"/>
      <c r="E114" s="233"/>
      <c r="F114" s="233"/>
      <c r="G114" s="233"/>
      <c r="H114" s="233"/>
      <c r="I114" s="233"/>
      <c r="J114" s="232">
        <f t="shared" si="26"/>
        <v>0</v>
      </c>
      <c r="K114" s="145"/>
      <c r="L114" s="145"/>
      <c r="M114" s="145"/>
      <c r="N114" s="145"/>
      <c r="O114" s="145"/>
      <c r="P114" s="145"/>
      <c r="Q114" s="145"/>
      <c r="R114" s="145"/>
    </row>
    <row r="115" spans="1:18" hidden="1" outlineLevel="1" x14ac:dyDescent="0.3">
      <c r="A115" s="235" t="str">
        <f>'Inputs '!$A$34</f>
        <v>-</v>
      </c>
      <c r="B115" s="234">
        <f>'Inputs '!D34</f>
        <v>0</v>
      </c>
      <c r="C115" s="233"/>
      <c r="D115" s="233"/>
      <c r="E115" s="233"/>
      <c r="F115" s="233"/>
      <c r="G115" s="233"/>
      <c r="H115" s="233"/>
      <c r="I115" s="233"/>
      <c r="J115" s="232">
        <f t="shared" si="26"/>
        <v>0</v>
      </c>
      <c r="K115" s="145"/>
      <c r="L115" s="145"/>
      <c r="M115" s="145"/>
      <c r="N115" s="145"/>
      <c r="O115" s="145"/>
      <c r="P115" s="145"/>
      <c r="Q115" s="145"/>
      <c r="R115" s="145"/>
    </row>
    <row r="116" spans="1:18" hidden="1" outlineLevel="1" x14ac:dyDescent="0.3">
      <c r="A116" s="235" t="str">
        <f>'Inputs '!$A$35</f>
        <v>-</v>
      </c>
      <c r="B116" s="234">
        <f>'Inputs '!D35</f>
        <v>0</v>
      </c>
      <c r="C116" s="233"/>
      <c r="D116" s="233"/>
      <c r="E116" s="233"/>
      <c r="F116" s="233"/>
      <c r="G116" s="233"/>
      <c r="H116" s="233"/>
      <c r="I116" s="233"/>
      <c r="J116" s="232">
        <f t="shared" si="26"/>
        <v>0</v>
      </c>
      <c r="K116" s="145"/>
      <c r="L116" s="145"/>
      <c r="M116" s="145"/>
      <c r="N116" s="145"/>
      <c r="O116" s="145"/>
      <c r="P116" s="145"/>
      <c r="Q116" s="145"/>
      <c r="R116" s="145"/>
    </row>
    <row r="117" spans="1:18" hidden="1" outlineLevel="1" x14ac:dyDescent="0.3">
      <c r="A117" s="235" t="str">
        <f>'Inputs '!$A$36</f>
        <v>-</v>
      </c>
      <c r="B117" s="234">
        <f>'Inputs '!D36</f>
        <v>0</v>
      </c>
      <c r="C117" s="233"/>
      <c r="D117" s="233"/>
      <c r="E117" s="233"/>
      <c r="F117" s="233"/>
      <c r="G117" s="233"/>
      <c r="H117" s="233"/>
      <c r="I117" s="233"/>
      <c r="J117" s="232">
        <f t="shared" si="26"/>
        <v>0</v>
      </c>
      <c r="K117" s="145"/>
      <c r="L117" s="145"/>
      <c r="M117" s="145"/>
      <c r="N117" s="145"/>
      <c r="O117" s="145"/>
      <c r="P117" s="145"/>
      <c r="Q117" s="145"/>
      <c r="R117" s="145"/>
    </row>
    <row r="118" spans="1:18" collapsed="1" x14ac:dyDescent="0.3">
      <c r="A118" s="231" t="s">
        <v>296</v>
      </c>
      <c r="B118" s="147"/>
      <c r="C118" s="146">
        <f t="shared" ref="C118:I118" si="27">SUM($B$62*C102+$B$63*C103+$B$64*C104+$B$65*C105+$B$66*C106+$B$67*C107+$B$68*C108+$B$69*C109+C110*$B$70+$B$71*C111)</f>
        <v>0.57999999999999996</v>
      </c>
      <c r="D118" s="146">
        <f t="shared" si="27"/>
        <v>0.57999999999999996</v>
      </c>
      <c r="E118" s="146">
        <f t="shared" si="27"/>
        <v>0.57999999999999996</v>
      </c>
      <c r="F118" s="146">
        <f t="shared" si="27"/>
        <v>0.57999999999999996</v>
      </c>
      <c r="G118" s="146">
        <f t="shared" si="27"/>
        <v>0.57999999999999996</v>
      </c>
      <c r="H118" s="146">
        <f t="shared" si="27"/>
        <v>0.57999999999999996</v>
      </c>
      <c r="I118" s="146">
        <f t="shared" si="27"/>
        <v>0.57999999999999996</v>
      </c>
      <c r="J118" s="230">
        <f>SUM(J102:J117)</f>
        <v>103.04329500281247</v>
      </c>
      <c r="K118" s="145"/>
      <c r="L118" s="145"/>
      <c r="M118" s="145"/>
      <c r="N118" s="145"/>
      <c r="O118" s="145"/>
      <c r="P118" s="145"/>
      <c r="Q118" s="145"/>
      <c r="R118" s="145"/>
    </row>
    <row r="119" spans="1:18" x14ac:dyDescent="0.3">
      <c r="A119" s="145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</row>
    <row r="120" spans="1:18" x14ac:dyDescent="0.3">
      <c r="A120" s="157" t="s">
        <v>309</v>
      </c>
      <c r="B120" s="156">
        <v>30</v>
      </c>
      <c r="C120" s="155"/>
      <c r="D120" s="155"/>
      <c r="E120" s="155"/>
      <c r="F120" s="155"/>
      <c r="G120" s="155"/>
      <c r="H120" s="155"/>
      <c r="I120" s="155"/>
      <c r="J120" s="155"/>
      <c r="K120" s="145"/>
      <c r="L120" s="145"/>
      <c r="M120" s="145"/>
      <c r="N120" s="145"/>
      <c r="O120" s="145"/>
      <c r="P120" s="145"/>
      <c r="Q120" s="145"/>
      <c r="R120" s="145"/>
    </row>
    <row r="121" spans="1:18" ht="36.6" x14ac:dyDescent="0.3">
      <c r="A121" s="154" t="s">
        <v>292</v>
      </c>
      <c r="B121" s="153" t="s">
        <v>332</v>
      </c>
      <c r="C121" s="617" t="s">
        <v>331</v>
      </c>
      <c r="D121" s="617"/>
      <c r="E121" s="617"/>
      <c r="F121" s="617"/>
      <c r="G121" s="617"/>
      <c r="H121" s="617"/>
      <c r="I121" s="617"/>
      <c r="J121" s="161" t="s">
        <v>330</v>
      </c>
      <c r="K121" s="145"/>
      <c r="L121" s="145"/>
      <c r="M121" s="145"/>
      <c r="N121" s="145"/>
      <c r="O121" s="145"/>
      <c r="P121" s="145"/>
      <c r="Q121" s="145"/>
      <c r="R121" s="145"/>
    </row>
    <row r="122" spans="1:18" hidden="1" outlineLevel="1" x14ac:dyDescent="0.3">
      <c r="A122" s="235" t="str">
        <f>'Inputs '!$A$21</f>
        <v>Supa-Dip</v>
      </c>
      <c r="B122" s="234">
        <f>'Inputs '!E21</f>
        <v>0.12</v>
      </c>
      <c r="C122" s="233">
        <v>4</v>
      </c>
      <c r="D122" s="233">
        <v>4</v>
      </c>
      <c r="E122" s="233">
        <v>4</v>
      </c>
      <c r="F122" s="233">
        <v>4</v>
      </c>
      <c r="G122" s="233">
        <v>4</v>
      </c>
      <c r="H122" s="233">
        <v>4</v>
      </c>
      <c r="I122" s="233">
        <v>4</v>
      </c>
      <c r="J122" s="232">
        <f>B122*(C$10*C122+D$10*D122+E$10*E122+F$10*F122+G$10*G122+H$10*H122+I$10*I122)</f>
        <v>85.064016633356246</v>
      </c>
      <c r="K122" s="145"/>
      <c r="L122" s="145"/>
      <c r="M122" s="145"/>
      <c r="N122" s="145"/>
      <c r="O122" s="145"/>
      <c r="P122" s="145"/>
      <c r="Q122" s="145"/>
      <c r="R122" s="145"/>
    </row>
    <row r="123" spans="1:18" hidden="1" outlineLevel="1" x14ac:dyDescent="0.3">
      <c r="A123" s="235" t="str">
        <f>'Inputs '!$A$22</f>
        <v>General Treatments</v>
      </c>
      <c r="B123" s="234">
        <f>'Inputs '!E22</f>
        <v>0.1</v>
      </c>
      <c r="C123" s="233">
        <v>1</v>
      </c>
      <c r="D123" s="233">
        <v>1</v>
      </c>
      <c r="E123" s="233">
        <v>1</v>
      </c>
      <c r="F123" s="233">
        <v>1</v>
      </c>
      <c r="G123" s="233">
        <v>1</v>
      </c>
      <c r="H123" s="233">
        <v>1</v>
      </c>
      <c r="I123" s="233">
        <v>1</v>
      </c>
      <c r="J123" s="232">
        <f t="shared" ref="J123:J137" si="28">B123*(C$10*C123+D$10*D123+E$10*E123+F$10*F123+G$10*G123+H$10*H123+I$10*I123)</f>
        <v>17.721670131949221</v>
      </c>
      <c r="K123" s="145"/>
      <c r="L123" s="145"/>
      <c r="M123" s="145"/>
      <c r="N123" s="145"/>
      <c r="O123" s="145"/>
      <c r="P123" s="145"/>
      <c r="Q123" s="145"/>
      <c r="R123" s="145"/>
    </row>
    <row r="124" spans="1:18" hidden="1" outlineLevel="1" x14ac:dyDescent="0.3">
      <c r="A124" s="235" t="str">
        <f>'Inputs '!$A$23</f>
        <v>Supavax</v>
      </c>
      <c r="B124" s="234">
        <f>'Inputs '!E23</f>
        <v>0.83</v>
      </c>
      <c r="C124" s="233">
        <v>1</v>
      </c>
      <c r="D124" s="233">
        <v>1</v>
      </c>
      <c r="E124" s="233">
        <v>1</v>
      </c>
      <c r="F124" s="233">
        <v>1</v>
      </c>
      <c r="G124" s="233">
        <v>1</v>
      </c>
      <c r="H124" s="233">
        <v>1</v>
      </c>
      <c r="I124" s="233">
        <v>1</v>
      </c>
      <c r="J124" s="232">
        <f t="shared" si="28"/>
        <v>147.08986209517852</v>
      </c>
      <c r="K124" s="145"/>
      <c r="L124" s="145"/>
      <c r="M124" s="145"/>
      <c r="N124" s="145"/>
      <c r="O124" s="145"/>
      <c r="P124" s="145"/>
      <c r="Q124" s="145"/>
      <c r="R124" s="145"/>
    </row>
    <row r="125" spans="1:18" hidden="1" outlineLevel="1" x14ac:dyDescent="0.3">
      <c r="A125" s="235" t="str">
        <f>'Inputs '!$A$24</f>
        <v>S19 Brucelosis</v>
      </c>
      <c r="B125" s="234">
        <f>'Inputs '!E24</f>
        <v>1.49</v>
      </c>
      <c r="C125" s="233"/>
      <c r="D125" s="233"/>
      <c r="E125" s="233"/>
      <c r="F125" s="233"/>
      <c r="G125" s="233"/>
      <c r="H125" s="233"/>
      <c r="I125" s="233"/>
      <c r="J125" s="566">
        <f t="shared" si="28"/>
        <v>0</v>
      </c>
      <c r="K125" s="145"/>
      <c r="L125" s="145"/>
      <c r="M125" s="145"/>
      <c r="N125" s="145"/>
      <c r="O125" s="145"/>
      <c r="P125" s="145"/>
      <c r="Q125" s="145"/>
      <c r="R125" s="145"/>
    </row>
    <row r="126" spans="1:18" hidden="1" outlineLevel="1" x14ac:dyDescent="0.3">
      <c r="A126" s="235" t="str">
        <f>'Inputs '!$A$25</f>
        <v>Vibrin</v>
      </c>
      <c r="B126" s="234">
        <f>'Inputs '!E25</f>
        <v>1.3</v>
      </c>
      <c r="C126" s="233"/>
      <c r="D126" s="233"/>
      <c r="E126" s="233"/>
      <c r="F126" s="233"/>
      <c r="G126" s="233"/>
      <c r="H126" s="233"/>
      <c r="I126" s="233"/>
      <c r="J126" s="232">
        <f t="shared" si="28"/>
        <v>0</v>
      </c>
      <c r="K126" s="145"/>
      <c r="L126" s="145"/>
      <c r="M126" s="145"/>
      <c r="N126" s="145"/>
      <c r="O126" s="145"/>
      <c r="P126" s="145"/>
      <c r="Q126" s="145"/>
      <c r="R126" s="145"/>
    </row>
    <row r="127" spans="1:18" hidden="1" outlineLevel="1" x14ac:dyDescent="0.3">
      <c r="A127" s="235" t="str">
        <f>'Inputs '!$A$26</f>
        <v>Lumpyvax</v>
      </c>
      <c r="B127" s="234">
        <f>'Inputs '!E26</f>
        <v>0.7</v>
      </c>
      <c r="C127" s="233"/>
      <c r="D127" s="233"/>
      <c r="E127" s="233"/>
      <c r="F127" s="233"/>
      <c r="G127" s="233"/>
      <c r="H127" s="233"/>
      <c r="I127" s="233"/>
      <c r="J127" s="232">
        <f t="shared" si="28"/>
        <v>0</v>
      </c>
      <c r="K127" s="145"/>
      <c r="L127" s="145"/>
      <c r="M127" s="145"/>
      <c r="N127" s="145"/>
      <c r="O127" s="145"/>
      <c r="P127" s="145"/>
      <c r="Q127" s="145"/>
      <c r="R127" s="145"/>
    </row>
    <row r="128" spans="1:18" ht="15" hidden="1" customHeight="1" outlineLevel="1" x14ac:dyDescent="0.3">
      <c r="A128" s="235" t="str">
        <f>'Inputs '!$A$27</f>
        <v>Bimectin</v>
      </c>
      <c r="B128" s="234">
        <f>'Inputs '!E27</f>
        <v>0.66</v>
      </c>
      <c r="C128" s="233"/>
      <c r="D128" s="233"/>
      <c r="E128" s="233"/>
      <c r="F128" s="233"/>
      <c r="G128" s="233"/>
      <c r="H128" s="233"/>
      <c r="I128" s="233"/>
      <c r="J128" s="232">
        <f t="shared" si="28"/>
        <v>0</v>
      </c>
      <c r="K128" s="145"/>
      <c r="L128" s="145"/>
      <c r="M128" s="145"/>
      <c r="N128" s="145"/>
      <c r="O128" s="145"/>
      <c r="P128" s="145"/>
      <c r="Q128" s="145"/>
      <c r="R128" s="145"/>
    </row>
    <row r="129" spans="1:18" hidden="1" outlineLevel="1" x14ac:dyDescent="0.3">
      <c r="A129" s="235" t="str">
        <f>'Inputs '!$A$28</f>
        <v>Multimin</v>
      </c>
      <c r="B129" s="234">
        <f>'Inputs '!E28</f>
        <v>0.2</v>
      </c>
      <c r="C129" s="233"/>
      <c r="D129" s="233"/>
      <c r="E129" s="233"/>
      <c r="F129" s="233"/>
      <c r="G129" s="233"/>
      <c r="H129" s="233"/>
      <c r="I129" s="233"/>
      <c r="J129" s="232">
        <f t="shared" si="28"/>
        <v>0</v>
      </c>
      <c r="K129" s="145"/>
      <c r="L129" s="145"/>
      <c r="M129" s="145"/>
      <c r="N129" s="145"/>
      <c r="O129" s="145"/>
      <c r="P129" s="145"/>
      <c r="Q129" s="145"/>
      <c r="R129" s="145"/>
    </row>
    <row r="130" spans="1:18" hidden="1" outlineLevel="1" x14ac:dyDescent="0.3">
      <c r="A130" s="235" t="str">
        <f>'Inputs '!$A$29</f>
        <v>Bull Testing</v>
      </c>
      <c r="B130" s="234">
        <f>'Inputs '!E29</f>
        <v>50</v>
      </c>
      <c r="C130" s="233"/>
      <c r="D130" s="233"/>
      <c r="E130" s="233"/>
      <c r="F130" s="233"/>
      <c r="G130" s="233"/>
      <c r="H130" s="233"/>
      <c r="I130" s="233"/>
      <c r="J130" s="232">
        <f t="shared" si="28"/>
        <v>0</v>
      </c>
      <c r="K130" s="158"/>
      <c r="L130" s="158"/>
      <c r="M130" s="158"/>
      <c r="N130" s="158"/>
      <c r="O130" s="158"/>
      <c r="P130" s="158"/>
      <c r="Q130" s="158"/>
      <c r="R130" s="158"/>
    </row>
    <row r="131" spans="1:18" hidden="1" outlineLevel="1" x14ac:dyDescent="0.3">
      <c r="A131" s="235" t="str">
        <f>'Inputs '!$A$30</f>
        <v xml:space="preserve">Ear Tags </v>
      </c>
      <c r="B131" s="234">
        <f>'Inputs '!E30</f>
        <v>6</v>
      </c>
      <c r="C131" s="233"/>
      <c r="D131" s="233"/>
      <c r="E131" s="233"/>
      <c r="F131" s="233"/>
      <c r="G131" s="233"/>
      <c r="H131" s="233"/>
      <c r="I131" s="233"/>
      <c r="J131" s="232">
        <f t="shared" si="28"/>
        <v>0</v>
      </c>
      <c r="K131" s="145"/>
      <c r="L131" s="145"/>
      <c r="M131" s="145"/>
      <c r="N131" s="145"/>
      <c r="O131" s="145"/>
      <c r="P131" s="145"/>
      <c r="Q131" s="145"/>
      <c r="R131" s="145"/>
    </row>
    <row r="132" spans="1:18" hidden="1" outlineLevel="1" x14ac:dyDescent="0.3">
      <c r="A132" s="235" t="str">
        <f>'Inputs '!$A$31</f>
        <v>Flucazole</v>
      </c>
      <c r="B132" s="234">
        <f>'Inputs '!E31</f>
        <v>0.93</v>
      </c>
      <c r="C132" s="233"/>
      <c r="D132" s="233"/>
      <c r="E132" s="233"/>
      <c r="F132" s="233"/>
      <c r="G132" s="233"/>
      <c r="H132" s="233"/>
      <c r="I132" s="233"/>
      <c r="J132" s="232">
        <f t="shared" si="28"/>
        <v>0</v>
      </c>
      <c r="K132" s="145"/>
      <c r="L132" s="145"/>
      <c r="M132" s="145"/>
      <c r="N132" s="145"/>
      <c r="O132" s="145"/>
      <c r="P132" s="145"/>
      <c r="Q132" s="145"/>
      <c r="R132" s="145"/>
    </row>
    <row r="133" spans="1:18" hidden="1" outlineLevel="1" x14ac:dyDescent="0.3">
      <c r="A133" s="235" t="str">
        <f>'Inputs '!$A$32</f>
        <v>-</v>
      </c>
      <c r="B133" s="234">
        <f>'Inputs '!E32</f>
        <v>0</v>
      </c>
      <c r="C133" s="233"/>
      <c r="D133" s="233"/>
      <c r="E133" s="233"/>
      <c r="F133" s="233"/>
      <c r="G133" s="233"/>
      <c r="H133" s="233"/>
      <c r="I133" s="233"/>
      <c r="J133" s="232">
        <f t="shared" si="28"/>
        <v>0</v>
      </c>
      <c r="K133" s="145"/>
      <c r="L133" s="145"/>
      <c r="M133" s="145"/>
      <c r="N133" s="145"/>
      <c r="O133" s="145"/>
      <c r="P133" s="145"/>
      <c r="Q133" s="145"/>
      <c r="R133" s="145"/>
    </row>
    <row r="134" spans="1:18" hidden="1" outlineLevel="1" x14ac:dyDescent="0.3">
      <c r="A134" s="235" t="str">
        <f>'Inputs '!$A$33</f>
        <v>-</v>
      </c>
      <c r="B134" s="234">
        <f>'Inputs '!E33</f>
        <v>0</v>
      </c>
      <c r="C134" s="233"/>
      <c r="D134" s="233"/>
      <c r="E134" s="233"/>
      <c r="F134" s="233"/>
      <c r="G134" s="233"/>
      <c r="H134" s="233"/>
      <c r="I134" s="233"/>
      <c r="J134" s="232">
        <f t="shared" si="28"/>
        <v>0</v>
      </c>
      <c r="K134" s="145"/>
      <c r="L134" s="145"/>
      <c r="M134" s="145"/>
      <c r="N134" s="145"/>
      <c r="O134" s="145"/>
      <c r="P134" s="145"/>
      <c r="Q134" s="145"/>
      <c r="R134" s="145"/>
    </row>
    <row r="135" spans="1:18" hidden="1" outlineLevel="1" x14ac:dyDescent="0.3">
      <c r="A135" s="235" t="str">
        <f>'Inputs '!$A$34</f>
        <v>-</v>
      </c>
      <c r="B135" s="234">
        <f>'Inputs '!E34</f>
        <v>0</v>
      </c>
      <c r="C135" s="233"/>
      <c r="D135" s="233"/>
      <c r="E135" s="233"/>
      <c r="F135" s="233"/>
      <c r="G135" s="233"/>
      <c r="H135" s="233"/>
      <c r="I135" s="233"/>
      <c r="J135" s="232">
        <f t="shared" si="28"/>
        <v>0</v>
      </c>
      <c r="K135" s="145"/>
      <c r="L135" s="145"/>
      <c r="M135" s="145"/>
      <c r="N135" s="145"/>
      <c r="O135" s="145"/>
      <c r="P135" s="145"/>
      <c r="Q135" s="145"/>
      <c r="R135" s="145"/>
    </row>
    <row r="136" spans="1:18" hidden="1" outlineLevel="1" x14ac:dyDescent="0.3">
      <c r="A136" s="235" t="str">
        <f>'Inputs '!$A$35</f>
        <v>-</v>
      </c>
      <c r="B136" s="234">
        <f>'Inputs '!E35</f>
        <v>0</v>
      </c>
      <c r="C136" s="233"/>
      <c r="D136" s="233"/>
      <c r="E136" s="233"/>
      <c r="F136" s="233"/>
      <c r="G136" s="233"/>
      <c r="H136" s="233"/>
      <c r="I136" s="233"/>
      <c r="J136" s="232">
        <f t="shared" si="28"/>
        <v>0</v>
      </c>
      <c r="K136" s="145"/>
      <c r="L136" s="145"/>
      <c r="M136" s="145"/>
      <c r="N136" s="145"/>
      <c r="O136" s="145"/>
      <c r="P136" s="145"/>
      <c r="Q136" s="145"/>
      <c r="R136" s="145"/>
    </row>
    <row r="137" spans="1:18" hidden="1" outlineLevel="1" x14ac:dyDescent="0.3">
      <c r="A137" s="235" t="str">
        <f>'Inputs '!$A$36</f>
        <v>-</v>
      </c>
      <c r="B137" s="234">
        <f>'Inputs '!E36</f>
        <v>0</v>
      </c>
      <c r="C137" s="233"/>
      <c r="D137" s="233"/>
      <c r="E137" s="233"/>
      <c r="F137" s="233"/>
      <c r="G137" s="233"/>
      <c r="H137" s="233"/>
      <c r="I137" s="233"/>
      <c r="J137" s="232">
        <f t="shared" si="28"/>
        <v>0</v>
      </c>
      <c r="K137" s="145"/>
      <c r="L137" s="145"/>
      <c r="M137" s="145"/>
      <c r="N137" s="145"/>
      <c r="O137" s="145"/>
      <c r="P137" s="145"/>
      <c r="Q137" s="145"/>
      <c r="R137" s="145"/>
    </row>
    <row r="138" spans="1:18" collapsed="1" x14ac:dyDescent="0.3">
      <c r="A138" s="231" t="s">
        <v>296</v>
      </c>
      <c r="B138" s="147"/>
      <c r="C138" s="146">
        <f t="shared" ref="C138:I138" si="29">SUM($B$62*C122+$B$63*C123+$B$64*C124+$B$65*C125+$B$66*C126+$B$67*C127+$B$68*C128+$B$69*C129+C130*$B$70+$B$71*C131)</f>
        <v>1.41</v>
      </c>
      <c r="D138" s="146">
        <f t="shared" si="29"/>
        <v>1.41</v>
      </c>
      <c r="E138" s="146">
        <f t="shared" si="29"/>
        <v>1.41</v>
      </c>
      <c r="F138" s="146">
        <f t="shared" si="29"/>
        <v>1.41</v>
      </c>
      <c r="G138" s="146">
        <f t="shared" si="29"/>
        <v>1.41</v>
      </c>
      <c r="H138" s="146">
        <f t="shared" si="29"/>
        <v>1.41</v>
      </c>
      <c r="I138" s="146">
        <f t="shared" si="29"/>
        <v>1.41</v>
      </c>
      <c r="J138" s="230">
        <f>SUM(J122:J131)</f>
        <v>249.875548860484</v>
      </c>
      <c r="K138" s="145"/>
      <c r="L138" s="145"/>
      <c r="M138" s="145"/>
      <c r="N138" s="145"/>
      <c r="O138" s="145"/>
      <c r="P138" s="145"/>
      <c r="Q138" s="145"/>
      <c r="R138" s="145"/>
    </row>
    <row r="139" spans="1:18" x14ac:dyDescent="0.3">
      <c r="A139" s="145"/>
      <c r="B139" s="145"/>
      <c r="C139" s="145"/>
      <c r="D139" s="145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5"/>
      <c r="P139" s="145"/>
      <c r="Q139" s="145"/>
      <c r="R139" s="145"/>
    </row>
    <row r="140" spans="1:18" x14ac:dyDescent="0.3">
      <c r="A140" s="157" t="s">
        <v>308</v>
      </c>
      <c r="B140" s="156">
        <v>31</v>
      </c>
      <c r="C140" s="155"/>
      <c r="D140" s="155"/>
      <c r="E140" s="155"/>
      <c r="F140" s="155"/>
      <c r="G140" s="155"/>
      <c r="H140" s="155"/>
      <c r="I140" s="155"/>
      <c r="J140" s="155"/>
      <c r="K140" s="145"/>
      <c r="L140" s="145"/>
      <c r="M140" s="145"/>
      <c r="N140" s="145"/>
      <c r="O140" s="145"/>
      <c r="P140" s="145"/>
      <c r="Q140" s="145"/>
      <c r="R140" s="145"/>
    </row>
    <row r="141" spans="1:18" ht="36.6" x14ac:dyDescent="0.3">
      <c r="A141" s="154" t="s">
        <v>292</v>
      </c>
      <c r="B141" s="153" t="s">
        <v>332</v>
      </c>
      <c r="C141" s="617" t="s">
        <v>331</v>
      </c>
      <c r="D141" s="617"/>
      <c r="E141" s="617"/>
      <c r="F141" s="617"/>
      <c r="G141" s="617"/>
      <c r="H141" s="617"/>
      <c r="I141" s="617"/>
      <c r="J141" s="161" t="s">
        <v>330</v>
      </c>
      <c r="K141" s="145"/>
      <c r="L141" s="145"/>
      <c r="M141" s="145"/>
      <c r="N141" s="145"/>
      <c r="O141" s="145"/>
      <c r="P141" s="145"/>
      <c r="Q141" s="145"/>
      <c r="R141" s="145"/>
    </row>
    <row r="142" spans="1:18" outlineLevel="1" x14ac:dyDescent="0.3">
      <c r="A142" s="235" t="str">
        <f>'Inputs '!$A$21</f>
        <v>Supa-Dip</v>
      </c>
      <c r="B142" s="234">
        <f>'Inputs '!F21</f>
        <v>0.12</v>
      </c>
      <c r="C142" s="233">
        <v>4</v>
      </c>
      <c r="D142" s="233">
        <v>4</v>
      </c>
      <c r="E142" s="233">
        <v>4</v>
      </c>
      <c r="F142" s="233">
        <v>4</v>
      </c>
      <c r="G142" s="233">
        <v>4</v>
      </c>
      <c r="H142" s="233">
        <v>4</v>
      </c>
      <c r="I142" s="233">
        <v>4</v>
      </c>
      <c r="J142" s="232">
        <f>B142*(C$11*C142+D$11*D142+E$11*E142+F$11*F142+G$11*G142+H$11*H142+I$11*I142)</f>
        <v>79.09135659177285</v>
      </c>
      <c r="K142" s="145"/>
      <c r="L142" s="145"/>
      <c r="M142" s="145"/>
      <c r="N142" s="145"/>
      <c r="O142" s="145"/>
      <c r="P142" s="145"/>
      <c r="Q142" s="145"/>
      <c r="R142" s="145"/>
    </row>
    <row r="143" spans="1:18" outlineLevel="1" x14ac:dyDescent="0.3">
      <c r="A143" s="235" t="str">
        <f>'Inputs '!$A$22</f>
        <v>General Treatments</v>
      </c>
      <c r="B143" s="234">
        <f>'Inputs '!F22</f>
        <v>0.1</v>
      </c>
      <c r="C143" s="233">
        <v>1</v>
      </c>
      <c r="D143" s="233">
        <v>1</v>
      </c>
      <c r="E143" s="233">
        <v>1</v>
      </c>
      <c r="F143" s="233">
        <v>1</v>
      </c>
      <c r="G143" s="233">
        <v>1</v>
      </c>
      <c r="H143" s="233">
        <v>1</v>
      </c>
      <c r="I143" s="233">
        <v>1</v>
      </c>
      <c r="J143" s="232">
        <f t="shared" ref="J143:J157" si="30">B143*(C$11*C143+D$11*D143+E$11*E143+F$11*F143+G$11*G143+H$11*H143+I$11*I143)</f>
        <v>16.477365956619344</v>
      </c>
      <c r="K143" s="145"/>
      <c r="L143" s="145"/>
      <c r="M143" s="145"/>
      <c r="N143" s="145"/>
      <c r="O143" s="145"/>
      <c r="P143" s="145"/>
      <c r="Q143" s="145"/>
      <c r="R143" s="145"/>
    </row>
    <row r="144" spans="1:18" outlineLevel="1" x14ac:dyDescent="0.3">
      <c r="A144" s="235" t="str">
        <f>'Inputs '!$A$23</f>
        <v>Supavax</v>
      </c>
      <c r="B144" s="234">
        <f>'Inputs '!F23</f>
        <v>0.83</v>
      </c>
      <c r="C144" s="233"/>
      <c r="D144" s="233"/>
      <c r="E144" s="233"/>
      <c r="F144" s="233"/>
      <c r="G144" s="233"/>
      <c r="H144" s="233"/>
      <c r="I144" s="233"/>
      <c r="J144" s="232">
        <f t="shared" si="30"/>
        <v>0</v>
      </c>
      <c r="K144" s="145"/>
      <c r="L144" s="145"/>
      <c r="M144" s="145"/>
      <c r="N144" s="145"/>
      <c r="O144" s="145"/>
      <c r="P144" s="145"/>
      <c r="Q144" s="145"/>
      <c r="R144" s="145"/>
    </row>
    <row r="145" spans="1:18" outlineLevel="1" x14ac:dyDescent="0.3">
      <c r="A145" s="235" t="str">
        <f>'Inputs '!$A$24</f>
        <v>S19 Brucelosis</v>
      </c>
      <c r="B145" s="234">
        <f>'Inputs '!F24</f>
        <v>1.49</v>
      </c>
      <c r="C145" s="233"/>
      <c r="D145" s="233"/>
      <c r="E145" s="233"/>
      <c r="F145" s="233"/>
      <c r="G145" s="233">
        <v>1</v>
      </c>
      <c r="H145" s="233"/>
      <c r="I145" s="233"/>
      <c r="J145" s="232">
        <f>B145*(C$11*C145+D$11*D145+E$11*E145+F$11*F145+G$11*G145+H$11*H145+I$11*I145)</f>
        <v>0</v>
      </c>
      <c r="K145" s="145"/>
      <c r="L145" s="145"/>
      <c r="M145" s="145"/>
      <c r="N145" s="145"/>
      <c r="O145" s="145"/>
      <c r="P145" s="145"/>
      <c r="Q145" s="145"/>
      <c r="R145" s="145"/>
    </row>
    <row r="146" spans="1:18" outlineLevel="1" x14ac:dyDescent="0.3">
      <c r="A146" s="235" t="str">
        <f>'Inputs '!$A$25</f>
        <v>Vibrin</v>
      </c>
      <c r="B146" s="234">
        <f>'Inputs '!F25</f>
        <v>1.3</v>
      </c>
      <c r="C146" s="233"/>
      <c r="D146" s="233"/>
      <c r="E146" s="233"/>
      <c r="F146" s="233"/>
      <c r="G146" s="233"/>
      <c r="H146" s="233"/>
      <c r="I146" s="233"/>
      <c r="J146" s="232">
        <f t="shared" si="30"/>
        <v>0</v>
      </c>
      <c r="K146" s="145"/>
      <c r="L146" s="145"/>
      <c r="M146" s="145"/>
      <c r="N146" s="145"/>
      <c r="O146" s="145"/>
      <c r="P146" s="145"/>
      <c r="Q146" s="145"/>
      <c r="R146" s="145"/>
    </row>
    <row r="147" spans="1:18" outlineLevel="1" x14ac:dyDescent="0.3">
      <c r="A147" s="235" t="str">
        <f>'Inputs '!$A$26</f>
        <v>Lumpyvax</v>
      </c>
      <c r="B147" s="234">
        <f>'Inputs '!F26</f>
        <v>0.7</v>
      </c>
      <c r="C147" s="233"/>
      <c r="D147" s="233"/>
      <c r="E147" s="233"/>
      <c r="F147" s="233"/>
      <c r="G147" s="233"/>
      <c r="H147" s="233"/>
      <c r="I147" s="233"/>
      <c r="J147" s="232">
        <f t="shared" si="30"/>
        <v>0</v>
      </c>
      <c r="K147" s="145"/>
      <c r="L147" s="145"/>
      <c r="M147" s="145"/>
      <c r="N147" s="145"/>
      <c r="O147" s="145"/>
      <c r="P147" s="145"/>
      <c r="Q147" s="145"/>
      <c r="R147" s="145"/>
    </row>
    <row r="148" spans="1:18" outlineLevel="1" x14ac:dyDescent="0.3">
      <c r="A148" s="235" t="str">
        <f>'Inputs '!$A$27</f>
        <v>Bimectin</v>
      </c>
      <c r="B148" s="234">
        <f>'Inputs '!F27</f>
        <v>0.66</v>
      </c>
      <c r="C148" s="233"/>
      <c r="D148" s="233"/>
      <c r="E148" s="233"/>
      <c r="F148" s="233"/>
      <c r="G148" s="233"/>
      <c r="H148" s="233"/>
      <c r="I148" s="233"/>
      <c r="J148" s="232">
        <f t="shared" si="30"/>
        <v>0</v>
      </c>
      <c r="K148" s="145"/>
      <c r="L148" s="145"/>
      <c r="M148" s="145"/>
      <c r="N148" s="145"/>
      <c r="O148" s="145"/>
      <c r="P148" s="145"/>
      <c r="Q148" s="145"/>
      <c r="R148" s="145"/>
    </row>
    <row r="149" spans="1:18" outlineLevel="1" x14ac:dyDescent="0.3">
      <c r="A149" s="235" t="str">
        <f>'Inputs '!$A$28</f>
        <v>Multimin</v>
      </c>
      <c r="B149" s="234">
        <f>'Inputs '!F28</f>
        <v>0.2</v>
      </c>
      <c r="C149" s="233"/>
      <c r="D149" s="233"/>
      <c r="E149" s="233"/>
      <c r="F149" s="233"/>
      <c r="G149" s="233"/>
      <c r="H149" s="233"/>
      <c r="I149" s="233"/>
      <c r="J149" s="232">
        <f t="shared" si="30"/>
        <v>0</v>
      </c>
      <c r="K149" s="145"/>
      <c r="L149" s="145"/>
      <c r="M149" s="145"/>
      <c r="N149" s="145"/>
      <c r="O149" s="145"/>
      <c r="P149" s="145"/>
      <c r="Q149" s="145"/>
      <c r="R149" s="145"/>
    </row>
    <row r="150" spans="1:18" outlineLevel="1" x14ac:dyDescent="0.3">
      <c r="A150" s="235" t="str">
        <f>'Inputs '!$A$29</f>
        <v>Bull Testing</v>
      </c>
      <c r="B150" s="234">
        <f>'Inputs '!F29</f>
        <v>50</v>
      </c>
      <c r="C150" s="233"/>
      <c r="D150" s="233"/>
      <c r="E150" s="233"/>
      <c r="F150" s="233"/>
      <c r="G150" s="233"/>
      <c r="H150" s="233"/>
      <c r="I150" s="233"/>
      <c r="J150" s="232">
        <f t="shared" si="30"/>
        <v>0</v>
      </c>
      <c r="K150" s="145"/>
      <c r="L150" s="145"/>
      <c r="M150" s="145"/>
      <c r="N150" s="145"/>
      <c r="O150" s="145"/>
      <c r="P150" s="145"/>
      <c r="Q150" s="145"/>
      <c r="R150" s="145"/>
    </row>
    <row r="151" spans="1:18" outlineLevel="1" x14ac:dyDescent="0.3">
      <c r="A151" s="235" t="str">
        <f>'Inputs '!$A$30</f>
        <v xml:space="preserve">Ear Tags </v>
      </c>
      <c r="B151" s="234">
        <f>'Inputs '!F30</f>
        <v>6</v>
      </c>
      <c r="C151" s="233"/>
      <c r="D151" s="233"/>
      <c r="E151" s="233"/>
      <c r="F151" s="233"/>
      <c r="G151" s="233"/>
      <c r="H151" s="233"/>
      <c r="I151" s="233"/>
      <c r="J151" s="232">
        <f t="shared" si="30"/>
        <v>0</v>
      </c>
      <c r="K151" s="145"/>
      <c r="L151" s="145"/>
      <c r="M151" s="145"/>
      <c r="N151" s="145"/>
      <c r="O151" s="145"/>
      <c r="P151" s="145"/>
      <c r="Q151" s="145"/>
      <c r="R151" s="145"/>
    </row>
    <row r="152" spans="1:18" outlineLevel="1" x14ac:dyDescent="0.3">
      <c r="A152" s="235" t="str">
        <f>'Inputs '!$A$31</f>
        <v>Flucazole</v>
      </c>
      <c r="B152" s="234">
        <f>'Inputs '!F31</f>
        <v>0.93</v>
      </c>
      <c r="C152" s="233"/>
      <c r="D152" s="233"/>
      <c r="E152" s="233"/>
      <c r="F152" s="233"/>
      <c r="G152" s="233"/>
      <c r="H152" s="233"/>
      <c r="I152" s="233"/>
      <c r="J152" s="232">
        <f t="shared" si="30"/>
        <v>0</v>
      </c>
      <c r="K152" s="145"/>
      <c r="L152" s="145"/>
      <c r="M152" s="145"/>
      <c r="N152" s="145"/>
      <c r="O152" s="145"/>
      <c r="P152" s="145"/>
      <c r="Q152" s="145"/>
      <c r="R152" s="145"/>
    </row>
    <row r="153" spans="1:18" outlineLevel="1" x14ac:dyDescent="0.3">
      <c r="A153" s="235" t="str">
        <f>'Inputs '!$A$32</f>
        <v>-</v>
      </c>
      <c r="B153" s="234">
        <f>'Inputs '!F32</f>
        <v>0</v>
      </c>
      <c r="C153" s="233"/>
      <c r="D153" s="233"/>
      <c r="E153" s="233"/>
      <c r="F153" s="233"/>
      <c r="G153" s="233"/>
      <c r="H153" s="233"/>
      <c r="I153" s="233"/>
      <c r="J153" s="232">
        <f t="shared" si="30"/>
        <v>0</v>
      </c>
      <c r="K153" s="145"/>
      <c r="L153" s="145"/>
      <c r="M153" s="145"/>
      <c r="N153" s="145"/>
      <c r="O153" s="145"/>
      <c r="P153" s="145"/>
      <c r="Q153" s="145"/>
      <c r="R153" s="145"/>
    </row>
    <row r="154" spans="1:18" outlineLevel="1" x14ac:dyDescent="0.3">
      <c r="A154" s="235" t="str">
        <f>'Inputs '!$A$33</f>
        <v>-</v>
      </c>
      <c r="B154" s="234">
        <f>'Inputs '!F33</f>
        <v>0</v>
      </c>
      <c r="C154" s="233"/>
      <c r="D154" s="233"/>
      <c r="E154" s="233"/>
      <c r="F154" s="233"/>
      <c r="G154" s="233"/>
      <c r="H154" s="233"/>
      <c r="I154" s="233"/>
      <c r="J154" s="232">
        <f t="shared" si="30"/>
        <v>0</v>
      </c>
      <c r="K154" s="145"/>
      <c r="L154" s="145"/>
      <c r="M154" s="145"/>
      <c r="N154" s="145"/>
      <c r="O154" s="145"/>
      <c r="P154" s="145"/>
      <c r="Q154" s="145"/>
      <c r="R154" s="145"/>
    </row>
    <row r="155" spans="1:18" outlineLevel="1" x14ac:dyDescent="0.3">
      <c r="A155" s="235" t="str">
        <f>'Inputs '!$A$34</f>
        <v>-</v>
      </c>
      <c r="B155" s="234">
        <f>'Inputs '!F34</f>
        <v>0</v>
      </c>
      <c r="C155" s="233"/>
      <c r="D155" s="233"/>
      <c r="E155" s="233"/>
      <c r="F155" s="233"/>
      <c r="G155" s="233"/>
      <c r="H155" s="233"/>
      <c r="I155" s="233"/>
      <c r="J155" s="232">
        <f t="shared" si="30"/>
        <v>0</v>
      </c>
      <c r="K155" s="145"/>
      <c r="L155" s="145"/>
      <c r="M155" s="145"/>
      <c r="N155" s="145"/>
      <c r="O155" s="145"/>
      <c r="P155" s="145"/>
      <c r="Q155" s="145"/>
      <c r="R155" s="145"/>
    </row>
    <row r="156" spans="1:18" outlineLevel="1" x14ac:dyDescent="0.3">
      <c r="A156" s="235" t="str">
        <f>'Inputs '!$A$35</f>
        <v>-</v>
      </c>
      <c r="B156" s="234">
        <f>'Inputs '!F35</f>
        <v>0</v>
      </c>
      <c r="C156" s="233"/>
      <c r="D156" s="233"/>
      <c r="E156" s="233"/>
      <c r="F156" s="233"/>
      <c r="G156" s="233"/>
      <c r="H156" s="233"/>
      <c r="I156" s="233"/>
      <c r="J156" s="232">
        <f t="shared" si="30"/>
        <v>0</v>
      </c>
      <c r="K156" s="145"/>
      <c r="L156" s="145"/>
      <c r="M156" s="145"/>
      <c r="N156" s="145"/>
      <c r="O156" s="145"/>
      <c r="P156" s="145"/>
      <c r="Q156" s="145"/>
      <c r="R156" s="145"/>
    </row>
    <row r="157" spans="1:18" outlineLevel="1" x14ac:dyDescent="0.3">
      <c r="A157" s="235" t="str">
        <f>'Inputs '!$A$36</f>
        <v>-</v>
      </c>
      <c r="B157" s="234">
        <f>'Inputs '!F36</f>
        <v>0</v>
      </c>
      <c r="C157" s="233"/>
      <c r="D157" s="233"/>
      <c r="E157" s="233"/>
      <c r="F157" s="233"/>
      <c r="G157" s="233"/>
      <c r="H157" s="233"/>
      <c r="I157" s="233"/>
      <c r="J157" s="232">
        <f t="shared" si="30"/>
        <v>0</v>
      </c>
      <c r="K157" s="145"/>
      <c r="L157" s="145"/>
      <c r="M157" s="145"/>
      <c r="N157" s="145"/>
      <c r="O157" s="145"/>
      <c r="P157" s="145"/>
      <c r="Q157" s="145"/>
      <c r="R157" s="145"/>
    </row>
    <row r="158" spans="1:18" x14ac:dyDescent="0.3">
      <c r="A158" s="231" t="s">
        <v>296</v>
      </c>
      <c r="B158" s="147"/>
      <c r="C158" s="146">
        <f t="shared" ref="C158:I158" si="31">SUM($B$62*C142+$B$63*C143+$B$64*C144+$B$65*C145+$B$66*C146+$B$67*C147+$B$68*C148+$B$69*C149+C150*$B$70+$B$71*C151)</f>
        <v>0.57999999999999996</v>
      </c>
      <c r="D158" s="146">
        <f t="shared" si="31"/>
        <v>0.57999999999999996</v>
      </c>
      <c r="E158" s="146">
        <f t="shared" si="31"/>
        <v>0.57999999999999996</v>
      </c>
      <c r="F158" s="146">
        <f t="shared" si="31"/>
        <v>0.57999999999999996</v>
      </c>
      <c r="G158" s="146">
        <f t="shared" si="31"/>
        <v>2.0699999999999998</v>
      </c>
      <c r="H158" s="146">
        <f t="shared" si="31"/>
        <v>0.57999999999999996</v>
      </c>
      <c r="I158" s="146">
        <f t="shared" si="31"/>
        <v>0.57999999999999996</v>
      </c>
      <c r="J158" s="230">
        <f>SUM(J142:J157)</f>
        <v>95.568722548392202</v>
      </c>
      <c r="K158" s="145"/>
      <c r="L158" s="145"/>
      <c r="M158" s="145"/>
      <c r="N158" s="145"/>
      <c r="O158" s="145"/>
      <c r="P158" s="145"/>
      <c r="Q158" s="145"/>
      <c r="R158" s="145"/>
    </row>
    <row r="159" spans="1:18" ht="15" customHeight="1" x14ac:dyDescent="0.3">
      <c r="K159" s="145"/>
      <c r="L159" s="145"/>
      <c r="M159" s="145"/>
      <c r="N159" s="145"/>
      <c r="O159" s="145"/>
      <c r="P159" s="145"/>
      <c r="Q159" s="145"/>
      <c r="R159" s="145"/>
    </row>
    <row r="160" spans="1:18" x14ac:dyDescent="0.3">
      <c r="A160" s="157" t="s">
        <v>307</v>
      </c>
      <c r="B160" s="156">
        <v>30</v>
      </c>
      <c r="C160" s="155"/>
      <c r="D160" s="155"/>
      <c r="E160" s="155"/>
      <c r="F160" s="155"/>
      <c r="G160" s="155"/>
      <c r="H160" s="155"/>
      <c r="I160" s="155"/>
      <c r="J160" s="155"/>
      <c r="K160" s="145"/>
      <c r="L160" s="145"/>
      <c r="M160" s="145"/>
      <c r="N160" s="145"/>
      <c r="O160" s="145"/>
      <c r="P160" s="145"/>
      <c r="Q160" s="145"/>
      <c r="R160" s="145"/>
    </row>
    <row r="161" spans="1:18" ht="36.6" x14ac:dyDescent="0.3">
      <c r="A161" s="154" t="s">
        <v>292</v>
      </c>
      <c r="B161" s="153" t="s">
        <v>332</v>
      </c>
      <c r="C161" s="617" t="s">
        <v>331</v>
      </c>
      <c r="D161" s="617"/>
      <c r="E161" s="617"/>
      <c r="F161" s="617"/>
      <c r="G161" s="617"/>
      <c r="H161" s="617"/>
      <c r="I161" s="617"/>
      <c r="J161" s="161" t="s">
        <v>330</v>
      </c>
      <c r="K161" s="158"/>
      <c r="L161" s="158"/>
      <c r="M161" s="158"/>
      <c r="N161" s="158"/>
      <c r="O161" s="158"/>
      <c r="P161" s="158"/>
      <c r="Q161" s="158"/>
      <c r="R161" s="158"/>
    </row>
    <row r="162" spans="1:18" hidden="1" outlineLevel="1" x14ac:dyDescent="0.3">
      <c r="A162" s="235" t="str">
        <f>'Inputs '!$A$21</f>
        <v>Supa-Dip</v>
      </c>
      <c r="B162" s="234">
        <f>'Inputs '!G21</f>
        <v>0.12</v>
      </c>
      <c r="C162" s="233">
        <v>4</v>
      </c>
      <c r="D162" s="233">
        <v>4</v>
      </c>
      <c r="E162" s="233">
        <v>4</v>
      </c>
      <c r="F162" s="233">
        <v>4</v>
      </c>
      <c r="G162" s="233">
        <v>4</v>
      </c>
      <c r="H162" s="233">
        <v>4</v>
      </c>
      <c r="I162" s="233">
        <v>4</v>
      </c>
      <c r="J162" s="232">
        <f>B162*(C$12*C162+D$12*D162+E$12*E162+F$12*F162+G$12*G162+H$12*H162+I$12*I162)</f>
        <v>78.893628200293421</v>
      </c>
      <c r="K162" s="145"/>
      <c r="L162" s="145"/>
      <c r="M162" s="145"/>
      <c r="N162" s="145"/>
      <c r="O162" s="145"/>
      <c r="P162" s="145"/>
      <c r="Q162" s="145"/>
      <c r="R162" s="145"/>
    </row>
    <row r="163" spans="1:18" hidden="1" outlineLevel="1" x14ac:dyDescent="0.3">
      <c r="A163" s="235" t="str">
        <f>'Inputs '!$A$22</f>
        <v>General Treatments</v>
      </c>
      <c r="B163" s="234">
        <f>'Inputs '!G22</f>
        <v>0.1</v>
      </c>
      <c r="C163" s="233">
        <v>1</v>
      </c>
      <c r="D163" s="233">
        <v>1</v>
      </c>
      <c r="E163" s="233">
        <v>1</v>
      </c>
      <c r="F163" s="233">
        <v>1</v>
      </c>
      <c r="G163" s="233">
        <v>1</v>
      </c>
      <c r="H163" s="233">
        <v>1</v>
      </c>
      <c r="I163" s="233">
        <v>1</v>
      </c>
      <c r="J163" s="232">
        <f t="shared" ref="J163:J177" si="32">B163*(C$12*C163+D$12*D163+E$12*E163+F$12*F163+G$12*G163+H$12*H163+I$12*I163)</f>
        <v>16.436172541727796</v>
      </c>
      <c r="K163" s="145"/>
      <c r="L163" s="145"/>
      <c r="M163" s="145"/>
      <c r="N163" s="145"/>
      <c r="O163" s="145"/>
      <c r="P163" s="145"/>
      <c r="Q163" s="145"/>
      <c r="R163" s="145"/>
    </row>
    <row r="164" spans="1:18" hidden="1" outlineLevel="1" x14ac:dyDescent="0.3">
      <c r="A164" s="235" t="str">
        <f>'Inputs '!$A$23</f>
        <v>Supavax</v>
      </c>
      <c r="B164" s="234">
        <f>'Inputs '!G23</f>
        <v>0.83</v>
      </c>
      <c r="C164" s="233"/>
      <c r="D164" s="233"/>
      <c r="E164" s="233"/>
      <c r="F164" s="233"/>
      <c r="G164" s="233"/>
      <c r="H164" s="233"/>
      <c r="I164" s="233"/>
      <c r="J164" s="232">
        <f t="shared" si="32"/>
        <v>0</v>
      </c>
      <c r="K164" s="145"/>
      <c r="L164" s="145"/>
      <c r="M164" s="145"/>
      <c r="N164" s="145"/>
      <c r="O164" s="145"/>
      <c r="P164" s="145"/>
      <c r="Q164" s="145"/>
      <c r="R164" s="145"/>
    </row>
    <row r="165" spans="1:18" hidden="1" outlineLevel="1" x14ac:dyDescent="0.3">
      <c r="A165" s="235" t="str">
        <f>'Inputs '!$A$24</f>
        <v>S19 Brucelosis</v>
      </c>
      <c r="B165" s="234">
        <f>'Inputs '!G24</f>
        <v>1.49</v>
      </c>
      <c r="C165" s="233"/>
      <c r="D165" s="233"/>
      <c r="E165" s="233"/>
      <c r="F165" s="233"/>
      <c r="G165" s="233"/>
      <c r="H165" s="233"/>
      <c r="I165" s="233"/>
      <c r="J165" s="232">
        <f t="shared" si="32"/>
        <v>0</v>
      </c>
      <c r="K165" s="145"/>
      <c r="L165" s="145"/>
      <c r="M165" s="145"/>
      <c r="N165" s="145"/>
      <c r="O165" s="145"/>
      <c r="P165" s="145"/>
      <c r="Q165" s="145"/>
      <c r="R165" s="145"/>
    </row>
    <row r="166" spans="1:18" hidden="1" outlineLevel="1" x14ac:dyDescent="0.3">
      <c r="A166" s="235" t="str">
        <f>'Inputs '!$A$25</f>
        <v>Vibrin</v>
      </c>
      <c r="B166" s="234">
        <f>'Inputs '!G25</f>
        <v>1.3</v>
      </c>
      <c r="C166" s="233"/>
      <c r="D166" s="233"/>
      <c r="E166" s="233"/>
      <c r="F166" s="233"/>
      <c r="G166" s="233"/>
      <c r="H166" s="233"/>
      <c r="I166" s="233"/>
      <c r="J166" s="232">
        <f t="shared" si="32"/>
        <v>0</v>
      </c>
      <c r="K166" s="145"/>
      <c r="L166" s="145"/>
      <c r="M166" s="145"/>
      <c r="N166" s="145"/>
      <c r="O166" s="145"/>
      <c r="P166" s="145"/>
      <c r="Q166" s="145"/>
      <c r="R166" s="145"/>
    </row>
    <row r="167" spans="1:18" hidden="1" outlineLevel="1" x14ac:dyDescent="0.3">
      <c r="A167" s="235" t="str">
        <f>'Inputs '!$A$26</f>
        <v>Lumpyvax</v>
      </c>
      <c r="B167" s="234">
        <f>'Inputs '!G26</f>
        <v>0.7</v>
      </c>
      <c r="C167" s="233"/>
      <c r="D167" s="233"/>
      <c r="E167" s="233"/>
      <c r="F167" s="233"/>
      <c r="G167" s="233"/>
      <c r="H167" s="233"/>
      <c r="I167" s="233"/>
      <c r="J167" s="232">
        <f t="shared" si="32"/>
        <v>0</v>
      </c>
      <c r="K167" s="145"/>
      <c r="L167" s="145"/>
      <c r="M167" s="145"/>
      <c r="N167" s="145"/>
      <c r="O167" s="145"/>
      <c r="P167" s="145"/>
      <c r="Q167" s="145"/>
      <c r="R167" s="145"/>
    </row>
    <row r="168" spans="1:18" hidden="1" outlineLevel="1" x14ac:dyDescent="0.3">
      <c r="A168" s="235" t="str">
        <f>'Inputs '!$A$27</f>
        <v>Bimectin</v>
      </c>
      <c r="B168" s="234">
        <f>'Inputs '!G27</f>
        <v>0.66</v>
      </c>
      <c r="C168" s="233"/>
      <c r="D168" s="233"/>
      <c r="E168" s="233"/>
      <c r="F168" s="233"/>
      <c r="G168" s="233"/>
      <c r="H168" s="233"/>
      <c r="I168" s="233"/>
      <c r="J168" s="232">
        <f t="shared" si="32"/>
        <v>0</v>
      </c>
      <c r="K168" s="145"/>
      <c r="L168" s="145"/>
      <c r="M168" s="145"/>
      <c r="N168" s="145"/>
      <c r="O168" s="145"/>
      <c r="P168" s="145"/>
      <c r="Q168" s="145"/>
      <c r="R168" s="145"/>
    </row>
    <row r="169" spans="1:18" hidden="1" outlineLevel="1" x14ac:dyDescent="0.3">
      <c r="A169" s="235" t="str">
        <f>'Inputs '!$A$28</f>
        <v>Multimin</v>
      </c>
      <c r="B169" s="234">
        <f>'Inputs '!G28</f>
        <v>0.2</v>
      </c>
      <c r="C169" s="233"/>
      <c r="D169" s="233"/>
      <c r="E169" s="233"/>
      <c r="F169" s="233"/>
      <c r="G169" s="233"/>
      <c r="H169" s="233"/>
      <c r="I169" s="233"/>
      <c r="J169" s="232">
        <f t="shared" si="32"/>
        <v>0</v>
      </c>
      <c r="K169" s="145"/>
      <c r="L169" s="145"/>
      <c r="M169" s="145"/>
      <c r="N169" s="145"/>
      <c r="O169" s="145"/>
      <c r="P169" s="145"/>
      <c r="Q169" s="145"/>
      <c r="R169" s="145"/>
    </row>
    <row r="170" spans="1:18" hidden="1" outlineLevel="1" x14ac:dyDescent="0.3">
      <c r="A170" s="235" t="str">
        <f>'Inputs '!$A$29</f>
        <v>Bull Testing</v>
      </c>
      <c r="B170" s="234">
        <f>'Inputs '!G29</f>
        <v>50</v>
      </c>
      <c r="C170" s="233"/>
      <c r="D170" s="233"/>
      <c r="E170" s="233"/>
      <c r="F170" s="233"/>
      <c r="G170" s="233"/>
      <c r="H170" s="233"/>
      <c r="I170" s="233"/>
      <c r="J170" s="232">
        <f t="shared" si="32"/>
        <v>0</v>
      </c>
      <c r="K170" s="145"/>
      <c r="L170" s="145"/>
      <c r="M170" s="145"/>
      <c r="N170" s="145"/>
      <c r="O170" s="145"/>
      <c r="P170" s="145"/>
      <c r="Q170" s="145"/>
      <c r="R170" s="145"/>
    </row>
    <row r="171" spans="1:18" hidden="1" outlineLevel="1" x14ac:dyDescent="0.3">
      <c r="A171" s="235" t="str">
        <f>'Inputs '!$A$30</f>
        <v xml:space="preserve">Ear Tags </v>
      </c>
      <c r="B171" s="234">
        <f>'Inputs '!G30</f>
        <v>6</v>
      </c>
      <c r="C171" s="233"/>
      <c r="D171" s="233"/>
      <c r="E171" s="233"/>
      <c r="F171" s="233"/>
      <c r="G171" s="233"/>
      <c r="H171" s="233"/>
      <c r="I171" s="233"/>
      <c r="J171" s="232">
        <f t="shared" si="32"/>
        <v>0</v>
      </c>
      <c r="K171" s="145"/>
      <c r="L171" s="145"/>
      <c r="M171" s="145"/>
      <c r="N171" s="145"/>
      <c r="O171" s="145"/>
      <c r="P171" s="145"/>
      <c r="Q171" s="145"/>
      <c r="R171" s="145"/>
    </row>
    <row r="172" spans="1:18" hidden="1" outlineLevel="1" x14ac:dyDescent="0.3">
      <c r="A172" s="235" t="str">
        <f>'Inputs '!$A$31</f>
        <v>Flucazole</v>
      </c>
      <c r="B172" s="234">
        <f>'Inputs '!G31</f>
        <v>0.93</v>
      </c>
      <c r="C172" s="233"/>
      <c r="D172" s="233"/>
      <c r="E172" s="233"/>
      <c r="F172" s="233"/>
      <c r="G172" s="233"/>
      <c r="H172" s="233"/>
      <c r="I172" s="233"/>
      <c r="J172" s="232">
        <f t="shared" si="32"/>
        <v>0</v>
      </c>
      <c r="K172" s="145"/>
      <c r="L172" s="145"/>
      <c r="M172" s="145"/>
      <c r="N172" s="145"/>
      <c r="O172" s="145"/>
      <c r="P172" s="145"/>
      <c r="Q172" s="145"/>
      <c r="R172" s="145"/>
    </row>
    <row r="173" spans="1:18" hidden="1" outlineLevel="1" x14ac:dyDescent="0.3">
      <c r="A173" s="235" t="str">
        <f>'Inputs '!$A$32</f>
        <v>-</v>
      </c>
      <c r="B173" s="234">
        <f>'Inputs '!G32</f>
        <v>0</v>
      </c>
      <c r="C173" s="233"/>
      <c r="D173" s="233"/>
      <c r="E173" s="233"/>
      <c r="F173" s="233"/>
      <c r="G173" s="233"/>
      <c r="H173" s="233"/>
      <c r="I173" s="233"/>
      <c r="J173" s="232">
        <f t="shared" si="32"/>
        <v>0</v>
      </c>
      <c r="K173" s="145"/>
      <c r="L173" s="145"/>
      <c r="M173" s="145"/>
      <c r="N173" s="145"/>
      <c r="O173" s="145"/>
      <c r="P173" s="145"/>
      <c r="Q173" s="145"/>
      <c r="R173" s="145"/>
    </row>
    <row r="174" spans="1:18" hidden="1" outlineLevel="1" x14ac:dyDescent="0.3">
      <c r="A174" s="235" t="str">
        <f>'Inputs '!$A$33</f>
        <v>-</v>
      </c>
      <c r="B174" s="234">
        <f>'Inputs '!G33</f>
        <v>0</v>
      </c>
      <c r="C174" s="233"/>
      <c r="D174" s="233"/>
      <c r="E174" s="233"/>
      <c r="F174" s="233"/>
      <c r="G174" s="233"/>
      <c r="H174" s="233"/>
      <c r="I174" s="233"/>
      <c r="J174" s="232">
        <f t="shared" si="32"/>
        <v>0</v>
      </c>
      <c r="K174" s="145"/>
      <c r="L174" s="145"/>
      <c r="M174" s="145"/>
      <c r="N174" s="145"/>
      <c r="O174" s="145"/>
      <c r="P174" s="145"/>
      <c r="Q174" s="145"/>
      <c r="R174" s="145"/>
    </row>
    <row r="175" spans="1:18" hidden="1" outlineLevel="1" x14ac:dyDescent="0.3">
      <c r="A175" s="235" t="str">
        <f>'Inputs '!$A$34</f>
        <v>-</v>
      </c>
      <c r="B175" s="234">
        <f>'Inputs '!G34</f>
        <v>0</v>
      </c>
      <c r="C175" s="233"/>
      <c r="D175" s="233"/>
      <c r="E175" s="233"/>
      <c r="F175" s="233"/>
      <c r="G175" s="233"/>
      <c r="H175" s="233"/>
      <c r="I175" s="233"/>
      <c r="J175" s="232">
        <f t="shared" si="32"/>
        <v>0</v>
      </c>
      <c r="K175" s="145"/>
      <c r="L175" s="145"/>
      <c r="M175" s="145"/>
      <c r="N175" s="145"/>
      <c r="O175" s="145"/>
      <c r="P175" s="145"/>
      <c r="Q175" s="145"/>
      <c r="R175" s="145"/>
    </row>
    <row r="176" spans="1:18" hidden="1" outlineLevel="1" x14ac:dyDescent="0.3">
      <c r="A176" s="235" t="str">
        <f>'Inputs '!$A$35</f>
        <v>-</v>
      </c>
      <c r="B176" s="234">
        <f>'Inputs '!G35</f>
        <v>0</v>
      </c>
      <c r="C176" s="233"/>
      <c r="D176" s="233"/>
      <c r="E176" s="233"/>
      <c r="F176" s="233"/>
      <c r="G176" s="233"/>
      <c r="H176" s="233"/>
      <c r="I176" s="233"/>
      <c r="J176" s="232">
        <f t="shared" si="32"/>
        <v>0</v>
      </c>
      <c r="K176" s="145"/>
      <c r="L176" s="145"/>
      <c r="M176" s="145"/>
      <c r="N176" s="145"/>
      <c r="O176" s="145"/>
      <c r="P176" s="145"/>
      <c r="Q176" s="145"/>
      <c r="R176" s="145"/>
    </row>
    <row r="177" spans="1:18" hidden="1" outlineLevel="1" x14ac:dyDescent="0.3">
      <c r="A177" s="235" t="str">
        <f>'Inputs '!$A$36</f>
        <v>-</v>
      </c>
      <c r="B177" s="234">
        <f>'Inputs '!G36</f>
        <v>0</v>
      </c>
      <c r="C177" s="233"/>
      <c r="D177" s="233"/>
      <c r="E177" s="233"/>
      <c r="F177" s="233"/>
      <c r="G177" s="233"/>
      <c r="H177" s="233"/>
      <c r="I177" s="233"/>
      <c r="J177" s="232">
        <f t="shared" si="32"/>
        <v>0</v>
      </c>
      <c r="K177" s="145"/>
      <c r="L177" s="145"/>
      <c r="M177" s="145"/>
      <c r="N177" s="145"/>
      <c r="O177" s="145"/>
      <c r="P177" s="145"/>
      <c r="Q177" s="145"/>
      <c r="R177" s="145"/>
    </row>
    <row r="178" spans="1:18" collapsed="1" x14ac:dyDescent="0.3">
      <c r="A178" s="231" t="s">
        <v>296</v>
      </c>
      <c r="B178" s="147"/>
      <c r="C178" s="146">
        <f t="shared" ref="C178:I178" si="33">SUM($B$62*C162+$B$63*C163+$B$64*C164+$B$65*C165+$B$66*C166+$B$67*C167+$B$68*C168+$B$69*C169+C170*$B$70+$B$71*C171)</f>
        <v>0.57999999999999996</v>
      </c>
      <c r="D178" s="146">
        <f t="shared" si="33"/>
        <v>0.57999999999999996</v>
      </c>
      <c r="E178" s="146">
        <f t="shared" si="33"/>
        <v>0.57999999999999996</v>
      </c>
      <c r="F178" s="146">
        <f t="shared" si="33"/>
        <v>0.57999999999999996</v>
      </c>
      <c r="G178" s="146">
        <f t="shared" si="33"/>
        <v>0.57999999999999996</v>
      </c>
      <c r="H178" s="146">
        <f t="shared" si="33"/>
        <v>0.57999999999999996</v>
      </c>
      <c r="I178" s="146">
        <f t="shared" si="33"/>
        <v>0.57999999999999996</v>
      </c>
      <c r="J178" s="230">
        <f>SUM(J162:J177)</f>
        <v>95.32980074202122</v>
      </c>
      <c r="K178" s="145"/>
      <c r="L178" s="145"/>
      <c r="M178" s="145"/>
      <c r="N178" s="145"/>
      <c r="O178" s="145"/>
      <c r="P178" s="145"/>
      <c r="Q178" s="145"/>
      <c r="R178" s="145"/>
    </row>
    <row r="179" spans="1:18" x14ac:dyDescent="0.3">
      <c r="K179" s="145"/>
      <c r="L179" s="145"/>
      <c r="M179" s="145"/>
      <c r="N179" s="145"/>
      <c r="O179" s="145"/>
      <c r="P179" s="145"/>
      <c r="Q179" s="145"/>
      <c r="R179" s="145"/>
    </row>
    <row r="180" spans="1:18" x14ac:dyDescent="0.3">
      <c r="A180" s="157" t="s">
        <v>306</v>
      </c>
      <c r="B180" s="156">
        <v>31</v>
      </c>
      <c r="C180" s="155"/>
      <c r="D180" s="155"/>
      <c r="E180" s="155"/>
      <c r="F180" s="155"/>
      <c r="G180" s="155"/>
      <c r="H180" s="155"/>
      <c r="I180" s="155"/>
      <c r="J180" s="155"/>
      <c r="K180" s="145"/>
      <c r="L180" s="145"/>
      <c r="M180" s="145"/>
      <c r="N180" s="145"/>
      <c r="O180" s="145"/>
      <c r="P180" s="145"/>
      <c r="Q180" s="145"/>
      <c r="R180" s="145"/>
    </row>
    <row r="181" spans="1:18" ht="36.6" x14ac:dyDescent="0.3">
      <c r="A181" s="154" t="s">
        <v>292</v>
      </c>
      <c r="B181" s="153" t="s">
        <v>332</v>
      </c>
      <c r="C181" s="617" t="s">
        <v>331</v>
      </c>
      <c r="D181" s="617"/>
      <c r="E181" s="617"/>
      <c r="F181" s="617"/>
      <c r="G181" s="617"/>
      <c r="H181" s="617"/>
      <c r="I181" s="617"/>
      <c r="J181" s="161" t="s">
        <v>330</v>
      </c>
      <c r="K181" s="145"/>
      <c r="L181" s="145"/>
      <c r="M181" s="145"/>
      <c r="N181" s="145"/>
      <c r="O181" s="145"/>
      <c r="P181" s="145"/>
      <c r="Q181" s="145"/>
      <c r="R181" s="145"/>
    </row>
    <row r="182" spans="1:18" outlineLevel="1" x14ac:dyDescent="0.3">
      <c r="A182" s="235" t="str">
        <f>'Inputs '!$A$21</f>
        <v>Supa-Dip</v>
      </c>
      <c r="B182" s="234">
        <f>'Inputs '!H21</f>
        <v>0.12</v>
      </c>
      <c r="C182" s="233">
        <v>4</v>
      </c>
      <c r="D182" s="233">
        <v>4</v>
      </c>
      <c r="E182" s="233">
        <v>4</v>
      </c>
      <c r="F182" s="233">
        <v>4</v>
      </c>
      <c r="G182" s="233">
        <v>4</v>
      </c>
      <c r="H182" s="233">
        <v>4</v>
      </c>
      <c r="I182" s="233">
        <v>4</v>
      </c>
      <c r="J182" s="232">
        <f>B182*(C$13*C182+D$13*D182+E$13*E182+F$13*F182+G$13*G182+H$13*H182+I$13*I182)</f>
        <v>78.696394129792679</v>
      </c>
      <c r="K182" s="145"/>
      <c r="L182" s="145"/>
      <c r="M182" s="145"/>
      <c r="N182" s="145"/>
      <c r="O182" s="145"/>
      <c r="P182" s="145"/>
      <c r="Q182" s="145"/>
      <c r="R182" s="145"/>
    </row>
    <row r="183" spans="1:18" outlineLevel="1" x14ac:dyDescent="0.3">
      <c r="A183" s="235" t="str">
        <f>'Inputs '!$A$22</f>
        <v>General Treatments</v>
      </c>
      <c r="B183" s="234">
        <f>'Inputs '!H22</f>
        <v>0.1</v>
      </c>
      <c r="C183" s="233">
        <v>1</v>
      </c>
      <c r="D183" s="233">
        <v>1</v>
      </c>
      <c r="E183" s="233">
        <v>1</v>
      </c>
      <c r="F183" s="233">
        <v>1</v>
      </c>
      <c r="G183" s="233">
        <v>1</v>
      </c>
      <c r="H183" s="233">
        <v>1</v>
      </c>
      <c r="I183" s="233">
        <v>1</v>
      </c>
      <c r="J183" s="232">
        <f t="shared" ref="J183:J197" si="34">B183*(C$13*C183+D$13*D183+E$13*E183+F$13*F183+G$13*G183+H$13*H183+I$13*I183)</f>
        <v>16.395082110373476</v>
      </c>
      <c r="K183" s="145"/>
      <c r="L183" s="145"/>
      <c r="M183" s="145"/>
      <c r="N183" s="145"/>
      <c r="O183" s="145"/>
      <c r="P183" s="145"/>
      <c r="Q183" s="145"/>
      <c r="R183" s="145"/>
    </row>
    <row r="184" spans="1:18" ht="15" customHeight="1" outlineLevel="1" x14ac:dyDescent="0.3">
      <c r="A184" s="235" t="str">
        <f>'Inputs '!$A$23</f>
        <v>Supavax</v>
      </c>
      <c r="B184" s="234">
        <f>'Inputs '!H23</f>
        <v>0.83</v>
      </c>
      <c r="C184" s="233"/>
      <c r="D184" s="233"/>
      <c r="E184" s="233"/>
      <c r="F184" s="233">
        <v>1</v>
      </c>
      <c r="G184" s="233"/>
      <c r="H184" s="233">
        <v>1</v>
      </c>
      <c r="I184" s="233"/>
      <c r="J184" s="232">
        <f t="shared" si="34"/>
        <v>61.168761354511105</v>
      </c>
      <c r="K184" s="145"/>
      <c r="L184" s="145"/>
      <c r="M184" s="145"/>
      <c r="N184" s="145"/>
      <c r="O184" s="145"/>
      <c r="P184" s="145"/>
      <c r="Q184" s="145"/>
      <c r="R184" s="145"/>
    </row>
    <row r="185" spans="1:18" outlineLevel="1" x14ac:dyDescent="0.3">
      <c r="A185" s="235" t="str">
        <f>'Inputs '!$A$24</f>
        <v>S19 Brucelosis</v>
      </c>
      <c r="B185" s="234">
        <f>'Inputs '!H24</f>
        <v>1.49</v>
      </c>
      <c r="C185" s="233"/>
      <c r="D185" s="233"/>
      <c r="E185" s="233"/>
      <c r="F185" s="233">
        <v>1</v>
      </c>
      <c r="G185" s="233"/>
      <c r="H185" s="233"/>
      <c r="I185" s="233"/>
      <c r="J185" s="232">
        <f t="shared" si="34"/>
        <v>54.904490613386479</v>
      </c>
      <c r="K185" s="145"/>
      <c r="L185" s="145"/>
      <c r="M185" s="145"/>
      <c r="N185" s="145"/>
      <c r="O185" s="145"/>
      <c r="P185" s="145"/>
      <c r="Q185" s="145"/>
      <c r="R185" s="145"/>
    </row>
    <row r="186" spans="1:18" outlineLevel="1" x14ac:dyDescent="0.3">
      <c r="A186" s="235" t="str">
        <f>'Inputs '!$A$25</f>
        <v>Vibrin</v>
      </c>
      <c r="B186" s="234">
        <f>'Inputs '!H25</f>
        <v>1.3</v>
      </c>
      <c r="C186" s="233"/>
      <c r="D186" s="233"/>
      <c r="E186" s="233"/>
      <c r="F186" s="233"/>
      <c r="G186" s="233"/>
      <c r="H186" s="233"/>
      <c r="I186" s="233"/>
      <c r="J186" s="232">
        <f t="shared" si="34"/>
        <v>0</v>
      </c>
      <c r="K186" s="145"/>
      <c r="L186" s="145"/>
      <c r="M186" s="145"/>
      <c r="N186" s="145"/>
      <c r="O186" s="145"/>
      <c r="P186" s="145"/>
      <c r="Q186" s="145"/>
      <c r="R186" s="145"/>
    </row>
    <row r="187" spans="1:18" outlineLevel="1" x14ac:dyDescent="0.3">
      <c r="A187" s="235" t="str">
        <f>'Inputs '!$A$26</f>
        <v>Lumpyvax</v>
      </c>
      <c r="B187" s="234">
        <f>'Inputs '!H26</f>
        <v>0.7</v>
      </c>
      <c r="C187" s="233"/>
      <c r="D187" s="233"/>
      <c r="E187" s="233"/>
      <c r="F187" s="233">
        <v>1</v>
      </c>
      <c r="G187" s="233"/>
      <c r="H187" s="233">
        <v>1</v>
      </c>
      <c r="I187" s="233"/>
      <c r="J187" s="232">
        <f t="shared" si="34"/>
        <v>51.588111985732255</v>
      </c>
      <c r="K187" s="145"/>
      <c r="L187" s="145"/>
      <c r="M187" s="145"/>
      <c r="N187" s="145"/>
      <c r="O187" s="145"/>
      <c r="P187" s="145"/>
      <c r="Q187" s="145"/>
      <c r="R187" s="145"/>
    </row>
    <row r="188" spans="1:18" outlineLevel="1" x14ac:dyDescent="0.3">
      <c r="A188" s="235" t="str">
        <f>'Inputs '!$A$27</f>
        <v>Bimectin</v>
      </c>
      <c r="B188" s="234">
        <f>'Inputs '!H27</f>
        <v>0.66</v>
      </c>
      <c r="C188" s="233"/>
      <c r="D188" s="233"/>
      <c r="E188" s="233"/>
      <c r="F188" s="233"/>
      <c r="G188" s="233"/>
      <c r="H188" s="233"/>
      <c r="I188" s="233"/>
      <c r="J188" s="232">
        <f t="shared" si="34"/>
        <v>0</v>
      </c>
      <c r="K188" s="145"/>
      <c r="L188" s="145"/>
      <c r="M188" s="145"/>
      <c r="N188" s="145"/>
      <c r="O188" s="145"/>
      <c r="P188" s="145"/>
      <c r="Q188" s="145"/>
      <c r="R188" s="145"/>
    </row>
    <row r="189" spans="1:18" outlineLevel="1" x14ac:dyDescent="0.3">
      <c r="A189" s="235" t="str">
        <f>'Inputs '!$A$28</f>
        <v>Multimin</v>
      </c>
      <c r="B189" s="234">
        <f>'Inputs '!H28</f>
        <v>0.2</v>
      </c>
      <c r="C189" s="233"/>
      <c r="D189" s="233"/>
      <c r="E189" s="233"/>
      <c r="F189" s="233"/>
      <c r="G189" s="233"/>
      <c r="H189" s="233"/>
      <c r="I189" s="233"/>
      <c r="J189" s="232">
        <f t="shared" si="34"/>
        <v>0</v>
      </c>
      <c r="K189" s="145"/>
      <c r="L189" s="145"/>
      <c r="M189" s="145"/>
      <c r="N189" s="145"/>
      <c r="O189" s="145"/>
      <c r="P189" s="145"/>
      <c r="Q189" s="145"/>
      <c r="R189" s="145"/>
    </row>
    <row r="190" spans="1:18" outlineLevel="1" x14ac:dyDescent="0.3">
      <c r="A190" s="235" t="str">
        <f>'Inputs '!$A$29</f>
        <v>Bull Testing</v>
      </c>
      <c r="B190" s="234">
        <f>'Inputs '!H29</f>
        <v>50</v>
      </c>
      <c r="C190" s="233"/>
      <c r="D190" s="233"/>
      <c r="E190" s="233"/>
      <c r="F190" s="233"/>
      <c r="G190" s="233"/>
      <c r="H190" s="233"/>
      <c r="I190" s="233"/>
      <c r="J190" s="232">
        <f t="shared" si="34"/>
        <v>0</v>
      </c>
      <c r="K190" s="145"/>
      <c r="L190" s="145"/>
      <c r="M190" s="145"/>
      <c r="N190" s="145"/>
      <c r="O190" s="145"/>
      <c r="P190" s="145"/>
      <c r="Q190" s="145"/>
      <c r="R190" s="145"/>
    </row>
    <row r="191" spans="1:18" outlineLevel="1" x14ac:dyDescent="0.3">
      <c r="A191" s="235" t="str">
        <f>'Inputs '!$A$30</f>
        <v xml:space="preserve">Ear Tags </v>
      </c>
      <c r="B191" s="234">
        <f>'Inputs '!H30</f>
        <v>6</v>
      </c>
      <c r="C191" s="233"/>
      <c r="D191" s="233"/>
      <c r="E191" s="233"/>
      <c r="F191" s="233"/>
      <c r="G191" s="233"/>
      <c r="H191" s="233"/>
      <c r="I191" s="233"/>
      <c r="J191" s="232">
        <f t="shared" si="34"/>
        <v>0</v>
      </c>
      <c r="K191" s="145"/>
      <c r="L191" s="145"/>
      <c r="M191" s="145"/>
      <c r="N191" s="145"/>
      <c r="O191" s="145"/>
      <c r="P191" s="145"/>
      <c r="Q191" s="145"/>
      <c r="R191" s="145"/>
    </row>
    <row r="192" spans="1:18" outlineLevel="1" x14ac:dyDescent="0.3">
      <c r="A192" s="235" t="str">
        <f>'Inputs '!$A$31</f>
        <v>Flucazole</v>
      </c>
      <c r="B192" s="234">
        <f>'Inputs '!H31</f>
        <v>0.93</v>
      </c>
      <c r="C192" s="233"/>
      <c r="D192" s="233"/>
      <c r="E192" s="233"/>
      <c r="F192" s="233"/>
      <c r="G192" s="233"/>
      <c r="H192" s="233"/>
      <c r="I192" s="233"/>
      <c r="J192" s="232">
        <f t="shared" si="34"/>
        <v>0</v>
      </c>
      <c r="K192" s="145"/>
      <c r="L192" s="145"/>
      <c r="M192" s="145"/>
      <c r="N192" s="145"/>
      <c r="O192" s="145"/>
      <c r="P192" s="145"/>
      <c r="Q192" s="145"/>
      <c r="R192" s="145"/>
    </row>
    <row r="193" spans="1:18" outlineLevel="1" x14ac:dyDescent="0.3">
      <c r="A193" s="235" t="str">
        <f>'Inputs '!$A$32</f>
        <v>-</v>
      </c>
      <c r="B193" s="234">
        <f>'Inputs '!H32</f>
        <v>0</v>
      </c>
      <c r="C193" s="233"/>
      <c r="D193" s="233"/>
      <c r="E193" s="233"/>
      <c r="F193" s="233"/>
      <c r="G193" s="233"/>
      <c r="H193" s="233"/>
      <c r="I193" s="233"/>
      <c r="J193" s="232">
        <f t="shared" si="34"/>
        <v>0</v>
      </c>
      <c r="K193" s="145"/>
      <c r="L193" s="145"/>
      <c r="M193" s="145"/>
      <c r="N193" s="145"/>
      <c r="O193" s="145"/>
      <c r="P193" s="145"/>
      <c r="Q193" s="145"/>
      <c r="R193" s="145"/>
    </row>
    <row r="194" spans="1:18" outlineLevel="1" x14ac:dyDescent="0.3">
      <c r="A194" s="235" t="str">
        <f>'Inputs '!$A$33</f>
        <v>-</v>
      </c>
      <c r="B194" s="234">
        <f>'Inputs '!H33</f>
        <v>0</v>
      </c>
      <c r="C194" s="233"/>
      <c r="D194" s="233"/>
      <c r="E194" s="233"/>
      <c r="F194" s="233"/>
      <c r="G194" s="233"/>
      <c r="H194" s="233"/>
      <c r="I194" s="233"/>
      <c r="J194" s="232">
        <f t="shared" si="34"/>
        <v>0</v>
      </c>
      <c r="K194" s="145"/>
      <c r="L194" s="145"/>
      <c r="M194" s="145"/>
      <c r="N194" s="145"/>
      <c r="O194" s="145"/>
      <c r="P194" s="145"/>
      <c r="Q194" s="145"/>
      <c r="R194" s="145"/>
    </row>
    <row r="195" spans="1:18" outlineLevel="1" x14ac:dyDescent="0.3">
      <c r="A195" s="235" t="str">
        <f>'Inputs '!$A$34</f>
        <v>-</v>
      </c>
      <c r="B195" s="234">
        <f>'Inputs '!H34</f>
        <v>0</v>
      </c>
      <c r="C195" s="233"/>
      <c r="D195" s="233"/>
      <c r="E195" s="233"/>
      <c r="F195" s="233"/>
      <c r="G195" s="233"/>
      <c r="H195" s="233"/>
      <c r="I195" s="233"/>
      <c r="J195" s="232">
        <f t="shared" si="34"/>
        <v>0</v>
      </c>
      <c r="K195" s="145"/>
      <c r="L195" s="145"/>
      <c r="M195" s="145"/>
      <c r="N195" s="145"/>
      <c r="O195" s="145"/>
      <c r="P195" s="145"/>
      <c r="Q195" s="145"/>
      <c r="R195" s="145"/>
    </row>
    <row r="196" spans="1:18" outlineLevel="1" x14ac:dyDescent="0.3">
      <c r="A196" s="235" t="str">
        <f>'Inputs '!$A$35</f>
        <v>-</v>
      </c>
      <c r="B196" s="234">
        <f>'Inputs '!H35</f>
        <v>0</v>
      </c>
      <c r="C196" s="233"/>
      <c r="D196" s="233"/>
      <c r="E196" s="233"/>
      <c r="F196" s="233"/>
      <c r="G196" s="233"/>
      <c r="H196" s="233"/>
      <c r="I196" s="233"/>
      <c r="J196" s="232">
        <f t="shared" si="34"/>
        <v>0</v>
      </c>
      <c r="K196" s="145"/>
      <c r="L196" s="145"/>
      <c r="M196" s="145"/>
      <c r="N196" s="145"/>
      <c r="O196" s="145"/>
      <c r="P196" s="145"/>
      <c r="Q196" s="145"/>
      <c r="R196" s="145"/>
    </row>
    <row r="197" spans="1:18" outlineLevel="1" x14ac:dyDescent="0.3">
      <c r="A197" s="235" t="str">
        <f>'Inputs '!$A$36</f>
        <v>-</v>
      </c>
      <c r="B197" s="234">
        <f>'Inputs '!H36</f>
        <v>0</v>
      </c>
      <c r="C197" s="233"/>
      <c r="D197" s="233"/>
      <c r="E197" s="233"/>
      <c r="F197" s="233"/>
      <c r="G197" s="233"/>
      <c r="H197" s="233"/>
      <c r="I197" s="233"/>
      <c r="J197" s="232">
        <f t="shared" si="34"/>
        <v>0</v>
      </c>
      <c r="K197" s="145"/>
      <c r="L197" s="145"/>
      <c r="M197" s="145"/>
      <c r="N197" s="145"/>
      <c r="O197" s="145"/>
      <c r="P197" s="145"/>
      <c r="Q197" s="145"/>
      <c r="R197" s="145"/>
    </row>
    <row r="198" spans="1:18" x14ac:dyDescent="0.3">
      <c r="A198" s="231" t="s">
        <v>296</v>
      </c>
      <c r="B198" s="147"/>
      <c r="C198" s="146">
        <f t="shared" ref="C198:I198" si="35">SUM($B$62*C182+$B$63*C183+$B$64*C184+$B$65*C185+$B$66*C186+$B$67*C187+$B$68*C188+$B$69*C189+C190*$B$70+$B$71*C191)</f>
        <v>0.57999999999999996</v>
      </c>
      <c r="D198" s="146">
        <f t="shared" si="35"/>
        <v>0.57999999999999996</v>
      </c>
      <c r="E198" s="146">
        <f t="shared" si="35"/>
        <v>0.57999999999999996</v>
      </c>
      <c r="F198" s="146">
        <f t="shared" si="35"/>
        <v>3.5999999999999996</v>
      </c>
      <c r="G198" s="146">
        <f t="shared" si="35"/>
        <v>0.57999999999999996</v>
      </c>
      <c r="H198" s="146">
        <f t="shared" si="35"/>
        <v>2.11</v>
      </c>
      <c r="I198" s="146">
        <f t="shared" si="35"/>
        <v>0.57999999999999996</v>
      </c>
      <c r="J198" s="230">
        <f>SUM(J182:J197)</f>
        <v>262.75284019379603</v>
      </c>
      <c r="K198" s="145"/>
      <c r="L198" s="145"/>
      <c r="M198" s="145"/>
      <c r="N198" s="145"/>
      <c r="O198" s="145"/>
      <c r="P198" s="145"/>
      <c r="Q198" s="145"/>
      <c r="R198" s="145"/>
    </row>
    <row r="199" spans="1:18" x14ac:dyDescent="0.3">
      <c r="K199" s="145"/>
      <c r="L199" s="145"/>
      <c r="M199" s="145"/>
      <c r="N199" s="145"/>
      <c r="O199" s="145"/>
      <c r="P199" s="145"/>
      <c r="Q199" s="145"/>
      <c r="R199" s="145"/>
    </row>
    <row r="200" spans="1:18" x14ac:dyDescent="0.3">
      <c r="A200" s="157" t="s">
        <v>305</v>
      </c>
      <c r="B200" s="156">
        <v>31</v>
      </c>
      <c r="C200" s="155"/>
      <c r="D200" s="155"/>
      <c r="E200" s="155"/>
      <c r="F200" s="155"/>
      <c r="G200" s="155"/>
      <c r="H200" s="155"/>
      <c r="I200" s="155"/>
      <c r="J200" s="155"/>
      <c r="K200" s="145"/>
      <c r="L200" s="145"/>
      <c r="M200" s="145"/>
      <c r="N200" s="145"/>
      <c r="O200" s="145"/>
      <c r="P200" s="145"/>
      <c r="Q200" s="145"/>
      <c r="R200" s="145"/>
    </row>
    <row r="201" spans="1:18" ht="36.6" x14ac:dyDescent="0.3">
      <c r="A201" s="154" t="s">
        <v>292</v>
      </c>
      <c r="B201" s="153" t="s">
        <v>332</v>
      </c>
      <c r="C201" s="617" t="s">
        <v>331</v>
      </c>
      <c r="D201" s="617"/>
      <c r="E201" s="617"/>
      <c r="F201" s="617"/>
      <c r="G201" s="617"/>
      <c r="H201" s="617"/>
      <c r="I201" s="617"/>
      <c r="J201" s="161" t="s">
        <v>330</v>
      </c>
      <c r="K201" s="145"/>
      <c r="L201" s="145"/>
      <c r="M201" s="145"/>
      <c r="N201" s="145"/>
      <c r="O201" s="145"/>
      <c r="P201" s="145"/>
      <c r="Q201" s="145"/>
      <c r="R201" s="145"/>
    </row>
    <row r="202" spans="1:18" hidden="1" outlineLevel="1" x14ac:dyDescent="0.3">
      <c r="A202" s="235" t="str">
        <f>'Inputs '!$A$21</f>
        <v>Supa-Dip</v>
      </c>
      <c r="B202" s="234">
        <f>'Inputs '!I21</f>
        <v>0.12</v>
      </c>
      <c r="C202" s="233">
        <v>4</v>
      </c>
      <c r="D202" s="233">
        <v>4</v>
      </c>
      <c r="E202" s="233">
        <v>4</v>
      </c>
      <c r="F202" s="233">
        <v>4</v>
      </c>
      <c r="G202" s="233">
        <v>4</v>
      </c>
      <c r="H202" s="233">
        <v>4</v>
      </c>
      <c r="I202" s="233">
        <v>4</v>
      </c>
      <c r="J202" s="232">
        <f>B202*(C$14*C202+D$14*D202+E$14*E202+F$14*F202+G$14*G202+H$14*H202+I$14*I202)</f>
        <v>67.93965314446821</v>
      </c>
      <c r="K202" s="145"/>
      <c r="L202" s="145"/>
      <c r="M202" s="145"/>
      <c r="N202" s="145"/>
      <c r="O202" s="145"/>
      <c r="P202" s="145"/>
      <c r="Q202" s="145"/>
      <c r="R202" s="145"/>
    </row>
    <row r="203" spans="1:18" hidden="1" outlineLevel="1" x14ac:dyDescent="0.3">
      <c r="A203" s="235" t="str">
        <f>'Inputs '!$A$22</f>
        <v>General Treatments</v>
      </c>
      <c r="B203" s="234">
        <f>'Inputs '!I22</f>
        <v>0.1</v>
      </c>
      <c r="C203" s="233">
        <v>1</v>
      </c>
      <c r="D203" s="233">
        <v>1</v>
      </c>
      <c r="E203" s="233">
        <v>1</v>
      </c>
      <c r="F203" s="233">
        <v>1</v>
      </c>
      <c r="G203" s="233">
        <v>1</v>
      </c>
      <c r="H203" s="233">
        <v>1</v>
      </c>
      <c r="I203" s="233">
        <v>1</v>
      </c>
      <c r="J203" s="232">
        <f t="shared" ref="J203:J217" si="36">B203*(C$14*C203+D$14*D203+E$14*E203+F$14*F203+G$14*G203+H$14*H203+I$14*I203)</f>
        <v>14.154094405097545</v>
      </c>
      <c r="K203" s="145"/>
      <c r="L203" s="145"/>
      <c r="M203" s="145"/>
      <c r="N203" s="145"/>
      <c r="O203" s="145"/>
      <c r="P203" s="145"/>
      <c r="Q203" s="145"/>
      <c r="R203" s="145"/>
    </row>
    <row r="204" spans="1:18" hidden="1" outlineLevel="1" x14ac:dyDescent="0.3">
      <c r="A204" s="235" t="str">
        <f>'Inputs '!$A$23</f>
        <v>Supavax</v>
      </c>
      <c r="B204" s="234">
        <f>'Inputs '!I23</f>
        <v>0.83</v>
      </c>
      <c r="C204" s="233"/>
      <c r="D204" s="233"/>
      <c r="E204" s="233"/>
      <c r="F204" s="233"/>
      <c r="G204" s="233"/>
      <c r="H204" s="233"/>
      <c r="I204" s="233"/>
      <c r="J204" s="232">
        <f t="shared" si="36"/>
        <v>0</v>
      </c>
      <c r="K204" s="145"/>
      <c r="L204" s="145"/>
      <c r="M204" s="145"/>
      <c r="N204" s="145"/>
      <c r="O204" s="145"/>
      <c r="P204" s="145"/>
      <c r="Q204" s="145"/>
      <c r="R204" s="145"/>
    </row>
    <row r="205" spans="1:18" hidden="1" outlineLevel="1" x14ac:dyDescent="0.3">
      <c r="A205" s="235" t="str">
        <f>'Inputs '!$A$24</f>
        <v>S19 Brucelosis</v>
      </c>
      <c r="B205" s="234">
        <f>'Inputs '!I24</f>
        <v>1.49</v>
      </c>
      <c r="C205" s="233"/>
      <c r="D205" s="233"/>
      <c r="E205" s="233"/>
      <c r="F205" s="233"/>
      <c r="G205" s="233"/>
      <c r="H205" s="233"/>
      <c r="I205" s="233"/>
      <c r="J205" s="232">
        <f t="shared" si="36"/>
        <v>0</v>
      </c>
      <c r="K205" s="145"/>
      <c r="L205" s="145"/>
      <c r="M205" s="145"/>
      <c r="N205" s="145"/>
      <c r="O205" s="145"/>
      <c r="P205" s="145"/>
      <c r="Q205" s="145"/>
      <c r="R205" s="145"/>
    </row>
    <row r="206" spans="1:18" hidden="1" outlineLevel="1" x14ac:dyDescent="0.3">
      <c r="A206" s="235" t="str">
        <f>'Inputs '!$A$25</f>
        <v>Vibrin</v>
      </c>
      <c r="B206" s="234">
        <f>'Inputs '!I25</f>
        <v>1.3</v>
      </c>
      <c r="C206" s="233"/>
      <c r="D206" s="233"/>
      <c r="E206" s="233"/>
      <c r="F206" s="233"/>
      <c r="G206" s="233"/>
      <c r="H206" s="233"/>
      <c r="I206" s="233"/>
      <c r="J206" s="232">
        <f t="shared" si="36"/>
        <v>0</v>
      </c>
      <c r="K206" s="145"/>
      <c r="L206" s="145"/>
      <c r="M206" s="145"/>
      <c r="N206" s="145"/>
      <c r="O206" s="145"/>
      <c r="P206" s="145"/>
      <c r="Q206" s="145"/>
      <c r="R206" s="145"/>
    </row>
    <row r="207" spans="1:18" hidden="1" outlineLevel="1" x14ac:dyDescent="0.3">
      <c r="A207" s="235" t="str">
        <f>'Inputs '!$A$26</f>
        <v>Lumpyvax</v>
      </c>
      <c r="B207" s="234">
        <f>'Inputs '!I26</f>
        <v>0.7</v>
      </c>
      <c r="C207" s="233"/>
      <c r="D207" s="233"/>
      <c r="E207" s="233"/>
      <c r="F207" s="233"/>
      <c r="G207" s="233"/>
      <c r="H207" s="233"/>
      <c r="I207" s="233">
        <v>0</v>
      </c>
      <c r="J207" s="232">
        <f t="shared" si="36"/>
        <v>0</v>
      </c>
      <c r="K207" s="145"/>
      <c r="L207" s="145"/>
      <c r="M207" s="145"/>
      <c r="N207" s="145"/>
      <c r="O207" s="145"/>
      <c r="P207" s="145"/>
      <c r="Q207" s="145"/>
      <c r="R207" s="145"/>
    </row>
    <row r="208" spans="1:18" hidden="1" outlineLevel="1" x14ac:dyDescent="0.3">
      <c r="A208" s="235" t="str">
        <f>'Inputs '!$A$27</f>
        <v>Bimectin</v>
      </c>
      <c r="B208" s="234">
        <f>'Inputs '!I27</f>
        <v>0.66</v>
      </c>
      <c r="C208" s="233"/>
      <c r="D208" s="233"/>
      <c r="E208" s="233"/>
      <c r="F208" s="233"/>
      <c r="G208" s="233"/>
      <c r="H208" s="233"/>
      <c r="I208" s="233"/>
      <c r="J208" s="232">
        <f t="shared" si="36"/>
        <v>0</v>
      </c>
      <c r="K208" s="145"/>
      <c r="L208" s="145"/>
      <c r="M208" s="145"/>
      <c r="N208" s="145"/>
      <c r="O208" s="145"/>
      <c r="P208" s="145"/>
      <c r="Q208" s="145"/>
      <c r="R208" s="145"/>
    </row>
    <row r="209" spans="1:18" ht="15" hidden="1" customHeight="1" outlineLevel="1" x14ac:dyDescent="0.3">
      <c r="A209" s="235" t="str">
        <f>'Inputs '!$A$28</f>
        <v>Multimin</v>
      </c>
      <c r="B209" s="234">
        <f>'Inputs '!I28</f>
        <v>0.2</v>
      </c>
      <c r="C209" s="233"/>
      <c r="D209" s="233"/>
      <c r="E209" s="233"/>
      <c r="F209" s="233"/>
      <c r="G209" s="233"/>
      <c r="H209" s="233"/>
      <c r="I209" s="233"/>
      <c r="J209" s="232">
        <f t="shared" si="36"/>
        <v>0</v>
      </c>
      <c r="K209" s="145"/>
      <c r="L209" s="145"/>
      <c r="M209" s="145"/>
      <c r="N209" s="145"/>
      <c r="O209" s="145"/>
      <c r="P209" s="145"/>
      <c r="Q209" s="145"/>
      <c r="R209" s="145"/>
    </row>
    <row r="210" spans="1:18" hidden="1" outlineLevel="1" x14ac:dyDescent="0.3">
      <c r="A210" s="235" t="str">
        <f>'Inputs '!$A$29</f>
        <v>Bull Testing</v>
      </c>
      <c r="B210" s="234">
        <f>'Inputs '!I29</f>
        <v>50</v>
      </c>
      <c r="C210" s="233">
        <v>1</v>
      </c>
      <c r="D210" s="233"/>
      <c r="E210" s="233"/>
      <c r="F210" s="233"/>
      <c r="G210" s="233"/>
      <c r="H210" s="233"/>
      <c r="I210" s="233"/>
      <c r="J210" s="232">
        <f t="shared" si="36"/>
        <v>196.03482554578261</v>
      </c>
      <c r="K210" s="145"/>
      <c r="L210" s="145"/>
      <c r="M210" s="145"/>
      <c r="N210" s="145"/>
      <c r="O210" s="145"/>
      <c r="P210" s="145"/>
      <c r="Q210" s="145"/>
      <c r="R210" s="145"/>
    </row>
    <row r="211" spans="1:18" hidden="1" outlineLevel="1" x14ac:dyDescent="0.3">
      <c r="A211" s="235" t="str">
        <f>'Inputs '!$A$30</f>
        <v xml:space="preserve">Ear Tags </v>
      </c>
      <c r="B211" s="234">
        <f>'Inputs '!I30</f>
        <v>6</v>
      </c>
      <c r="C211" s="233"/>
      <c r="D211" s="233"/>
      <c r="E211" s="233"/>
      <c r="F211" s="233"/>
      <c r="G211" s="233"/>
      <c r="H211" s="233"/>
      <c r="I211" s="233"/>
      <c r="J211" s="232">
        <f t="shared" si="36"/>
        <v>0</v>
      </c>
      <c r="K211" s="158"/>
      <c r="L211" s="158"/>
      <c r="M211" s="158"/>
      <c r="N211" s="158"/>
      <c r="O211" s="158"/>
      <c r="P211" s="158"/>
      <c r="Q211" s="158"/>
      <c r="R211" s="158"/>
    </row>
    <row r="212" spans="1:18" hidden="1" outlineLevel="1" x14ac:dyDescent="0.3">
      <c r="A212" s="235" t="str">
        <f>'Inputs '!$A$31</f>
        <v>Flucazole</v>
      </c>
      <c r="B212" s="234">
        <f>'Inputs '!I31</f>
        <v>0.93</v>
      </c>
      <c r="C212" s="233"/>
      <c r="D212" s="233"/>
      <c r="E212" s="233"/>
      <c r="F212" s="233"/>
      <c r="G212" s="233"/>
      <c r="H212" s="233"/>
      <c r="I212" s="233"/>
      <c r="J212" s="232">
        <f t="shared" si="36"/>
        <v>0</v>
      </c>
      <c r="K212" s="158"/>
      <c r="L212" s="158"/>
      <c r="M212" s="158"/>
      <c r="N212" s="158"/>
      <c r="O212" s="158"/>
      <c r="P212" s="158"/>
      <c r="Q212" s="158"/>
      <c r="R212" s="158"/>
    </row>
    <row r="213" spans="1:18" hidden="1" outlineLevel="1" x14ac:dyDescent="0.3">
      <c r="A213" s="235" t="str">
        <f>'Inputs '!$A$32</f>
        <v>-</v>
      </c>
      <c r="B213" s="234">
        <f>'Inputs '!I32</f>
        <v>0</v>
      </c>
      <c r="C213" s="233"/>
      <c r="D213" s="233"/>
      <c r="E213" s="233"/>
      <c r="F213" s="233"/>
      <c r="G213" s="233"/>
      <c r="H213" s="233"/>
      <c r="I213" s="233"/>
      <c r="J213" s="232">
        <f t="shared" si="36"/>
        <v>0</v>
      </c>
      <c r="K213" s="158"/>
      <c r="L213" s="158"/>
      <c r="M213" s="158"/>
      <c r="N213" s="158"/>
      <c r="O213" s="158"/>
      <c r="P213" s="158"/>
      <c r="Q213" s="158"/>
      <c r="R213" s="158"/>
    </row>
    <row r="214" spans="1:18" hidden="1" outlineLevel="1" x14ac:dyDescent="0.3">
      <c r="A214" s="235" t="str">
        <f>'Inputs '!$A$33</f>
        <v>-</v>
      </c>
      <c r="B214" s="234">
        <f>'Inputs '!I33</f>
        <v>0</v>
      </c>
      <c r="C214" s="233"/>
      <c r="D214" s="233"/>
      <c r="E214" s="233"/>
      <c r="F214" s="233"/>
      <c r="G214" s="233"/>
      <c r="H214" s="233"/>
      <c r="I214" s="233"/>
      <c r="J214" s="232">
        <f t="shared" si="36"/>
        <v>0</v>
      </c>
      <c r="K214" s="158"/>
      <c r="L214" s="158"/>
      <c r="M214" s="158"/>
      <c r="N214" s="158"/>
      <c r="O214" s="158"/>
      <c r="P214" s="158"/>
      <c r="Q214" s="158"/>
      <c r="R214" s="158"/>
    </row>
    <row r="215" spans="1:18" hidden="1" outlineLevel="1" x14ac:dyDescent="0.3">
      <c r="A215" s="235" t="str">
        <f>'Inputs '!$A$34</f>
        <v>-</v>
      </c>
      <c r="B215" s="234">
        <f>'Inputs '!I34</f>
        <v>0</v>
      </c>
      <c r="C215" s="233"/>
      <c r="D215" s="233"/>
      <c r="E215" s="233"/>
      <c r="F215" s="233"/>
      <c r="G215" s="233"/>
      <c r="H215" s="233"/>
      <c r="I215" s="233"/>
      <c r="J215" s="232">
        <f t="shared" si="36"/>
        <v>0</v>
      </c>
      <c r="K215" s="158"/>
      <c r="L215" s="158"/>
      <c r="M215" s="158"/>
      <c r="N215" s="158"/>
      <c r="O215" s="158"/>
      <c r="P215" s="158"/>
      <c r="Q215" s="158"/>
      <c r="R215" s="158"/>
    </row>
    <row r="216" spans="1:18" hidden="1" outlineLevel="1" x14ac:dyDescent="0.3">
      <c r="A216" s="235" t="str">
        <f>'Inputs '!$A$35</f>
        <v>-</v>
      </c>
      <c r="B216" s="234">
        <f>'Inputs '!I35</f>
        <v>0</v>
      </c>
      <c r="C216" s="233"/>
      <c r="D216" s="233"/>
      <c r="E216" s="233"/>
      <c r="F216" s="233"/>
      <c r="G216" s="233"/>
      <c r="H216" s="233"/>
      <c r="I216" s="233"/>
      <c r="J216" s="232">
        <f t="shared" si="36"/>
        <v>0</v>
      </c>
      <c r="K216" s="158"/>
      <c r="L216" s="158"/>
      <c r="M216" s="158"/>
      <c r="N216" s="158"/>
      <c r="O216" s="158"/>
      <c r="P216" s="158"/>
      <c r="Q216" s="158"/>
      <c r="R216" s="158"/>
    </row>
    <row r="217" spans="1:18" hidden="1" outlineLevel="1" x14ac:dyDescent="0.3">
      <c r="A217" s="235" t="str">
        <f>'Inputs '!$A$36</f>
        <v>-</v>
      </c>
      <c r="B217" s="234">
        <f>'Inputs '!I36</f>
        <v>0</v>
      </c>
      <c r="C217" s="233"/>
      <c r="D217" s="233"/>
      <c r="E217" s="233"/>
      <c r="F217" s="233"/>
      <c r="G217" s="233"/>
      <c r="H217" s="233"/>
      <c r="I217" s="233"/>
      <c r="J217" s="232">
        <f t="shared" si="36"/>
        <v>0</v>
      </c>
      <c r="K217" s="158"/>
      <c r="L217" s="158"/>
      <c r="M217" s="158"/>
      <c r="N217" s="158"/>
      <c r="O217" s="158"/>
      <c r="P217" s="158"/>
      <c r="Q217" s="158"/>
      <c r="R217" s="158"/>
    </row>
    <row r="218" spans="1:18" collapsed="1" x14ac:dyDescent="0.3">
      <c r="A218" s="231" t="s">
        <v>296</v>
      </c>
      <c r="B218" s="147"/>
      <c r="C218" s="146">
        <f t="shared" ref="C218:I218" si="37">SUM($B$62*C202+$B$63*C203+$B$64*C204+$B$65*C205+$B$66*C206+$B$67*C207+$B$68*C208+$B$69*C209+C210*$B$70+$B$71*C211)</f>
        <v>50.58</v>
      </c>
      <c r="D218" s="146">
        <f t="shared" si="37"/>
        <v>0.57999999999999996</v>
      </c>
      <c r="E218" s="146">
        <f t="shared" si="37"/>
        <v>0.57999999999999996</v>
      </c>
      <c r="F218" s="146">
        <f t="shared" si="37"/>
        <v>0.57999999999999996</v>
      </c>
      <c r="G218" s="146">
        <f t="shared" si="37"/>
        <v>0.57999999999999996</v>
      </c>
      <c r="H218" s="146">
        <f t="shared" si="37"/>
        <v>0.57999999999999996</v>
      </c>
      <c r="I218" s="146">
        <f t="shared" si="37"/>
        <v>0.57999999999999996</v>
      </c>
      <c r="J218" s="230">
        <f>SUM(J202:J217)</f>
        <v>278.12857309534837</v>
      </c>
      <c r="K218" s="145"/>
      <c r="L218" s="145"/>
      <c r="M218" s="145"/>
      <c r="N218" s="145"/>
      <c r="O218" s="145"/>
      <c r="P218" s="145"/>
      <c r="Q218" s="145"/>
      <c r="R218" s="145"/>
    </row>
    <row r="219" spans="1:18" x14ac:dyDescent="0.3">
      <c r="K219" s="145"/>
      <c r="L219" s="145"/>
      <c r="M219" s="145"/>
      <c r="N219" s="145"/>
      <c r="O219" s="145"/>
      <c r="P219" s="145"/>
      <c r="Q219" s="145"/>
      <c r="R219" s="145"/>
    </row>
    <row r="220" spans="1:18" x14ac:dyDescent="0.3">
      <c r="A220" s="157" t="s">
        <v>304</v>
      </c>
      <c r="B220" s="156">
        <v>30</v>
      </c>
      <c r="C220" s="155"/>
      <c r="D220" s="155"/>
      <c r="E220" s="155"/>
      <c r="F220" s="155"/>
      <c r="G220" s="155"/>
      <c r="H220" s="155"/>
      <c r="I220" s="155"/>
      <c r="J220" s="155"/>
      <c r="K220" s="145"/>
      <c r="L220" s="145"/>
      <c r="M220" s="145"/>
      <c r="N220" s="145"/>
      <c r="O220" s="145"/>
      <c r="P220" s="145"/>
      <c r="Q220" s="145"/>
      <c r="R220" s="145"/>
    </row>
    <row r="221" spans="1:18" ht="36.6" x14ac:dyDescent="0.3">
      <c r="A221" s="154" t="s">
        <v>292</v>
      </c>
      <c r="B221" s="153" t="s">
        <v>332</v>
      </c>
      <c r="C221" s="617" t="s">
        <v>331</v>
      </c>
      <c r="D221" s="617"/>
      <c r="E221" s="617"/>
      <c r="F221" s="617"/>
      <c r="G221" s="617"/>
      <c r="H221" s="617"/>
      <c r="I221" s="617"/>
      <c r="J221" s="161" t="s">
        <v>330</v>
      </c>
      <c r="K221" s="145"/>
      <c r="L221" s="145"/>
      <c r="M221" s="145"/>
      <c r="N221" s="145"/>
      <c r="O221" s="145"/>
      <c r="P221" s="145"/>
      <c r="Q221" s="145"/>
      <c r="R221" s="145"/>
    </row>
    <row r="222" spans="1:18" hidden="1" outlineLevel="1" x14ac:dyDescent="0.3">
      <c r="A222" s="235" t="str">
        <f>'Inputs '!$A$21</f>
        <v>Supa-Dip</v>
      </c>
      <c r="B222" s="234">
        <f>'Inputs '!J21</f>
        <v>0.12</v>
      </c>
      <c r="C222" s="233">
        <v>4</v>
      </c>
      <c r="D222" s="233">
        <v>4</v>
      </c>
      <c r="E222" s="233">
        <v>4</v>
      </c>
      <c r="F222" s="233">
        <v>4</v>
      </c>
      <c r="G222" s="233">
        <v>4</v>
      </c>
      <c r="H222" s="233">
        <v>4</v>
      </c>
      <c r="I222" s="233">
        <v>4</v>
      </c>
      <c r="J222" s="232">
        <f>B222*(C$15*C222+D$15*D222+E$15*E222+F$15*F222+G$15*G222+H$15*H222+I$15*I222)</f>
        <v>60.089804011607036</v>
      </c>
      <c r="K222" s="145"/>
      <c r="L222" s="145"/>
      <c r="M222" s="145"/>
      <c r="N222" s="145"/>
      <c r="O222" s="145"/>
      <c r="P222" s="145"/>
      <c r="Q222" s="145"/>
      <c r="R222" s="145"/>
    </row>
    <row r="223" spans="1:18" hidden="1" outlineLevel="1" x14ac:dyDescent="0.3">
      <c r="A223" s="235" t="str">
        <f>'Inputs '!$A$22</f>
        <v>General Treatments</v>
      </c>
      <c r="B223" s="234">
        <f>'Inputs '!J22</f>
        <v>0.1</v>
      </c>
      <c r="C223" s="233">
        <v>1</v>
      </c>
      <c r="D223" s="233">
        <v>1</v>
      </c>
      <c r="E223" s="233">
        <v>1</v>
      </c>
      <c r="F223" s="233">
        <v>1</v>
      </c>
      <c r="G223" s="233">
        <v>1</v>
      </c>
      <c r="H223" s="233">
        <v>1</v>
      </c>
      <c r="I223" s="233">
        <v>1</v>
      </c>
      <c r="J223" s="232">
        <f t="shared" ref="J223:J237" si="38">B223*(C$15*C223+D$15*D223+E$15*E223+F$15*F223+G$15*G223+H$15*H223+I$15*I223)</f>
        <v>12.518709169084801</v>
      </c>
      <c r="K223" s="145"/>
      <c r="L223" s="145"/>
      <c r="M223" s="145"/>
      <c r="N223" s="145"/>
      <c r="O223" s="145"/>
      <c r="P223" s="145"/>
      <c r="Q223" s="145"/>
      <c r="R223" s="145"/>
    </row>
    <row r="224" spans="1:18" hidden="1" outlineLevel="1" x14ac:dyDescent="0.3">
      <c r="A224" s="235" t="str">
        <f>'Inputs '!$A$23</f>
        <v>Supavax</v>
      </c>
      <c r="B224" s="234">
        <f>'Inputs '!J23</f>
        <v>0.83</v>
      </c>
      <c r="C224" s="233"/>
      <c r="D224" s="233"/>
      <c r="E224" s="233"/>
      <c r="F224" s="233"/>
      <c r="G224" s="233"/>
      <c r="H224" s="233"/>
      <c r="I224" s="233"/>
      <c r="J224" s="232">
        <f t="shared" si="38"/>
        <v>0</v>
      </c>
      <c r="K224" s="145"/>
      <c r="L224" s="145"/>
      <c r="M224" s="145"/>
      <c r="N224" s="145"/>
      <c r="O224" s="145"/>
      <c r="P224" s="145"/>
      <c r="Q224" s="145"/>
      <c r="R224" s="145"/>
    </row>
    <row r="225" spans="1:18" hidden="1" outlineLevel="1" x14ac:dyDescent="0.3">
      <c r="A225" s="235" t="str">
        <f>'Inputs '!$A$24</f>
        <v>S19 Brucelosis</v>
      </c>
      <c r="B225" s="234">
        <f>'Inputs '!J24</f>
        <v>1.49</v>
      </c>
      <c r="C225" s="233"/>
      <c r="D225" s="233"/>
      <c r="E225" s="233"/>
      <c r="F225" s="233"/>
      <c r="G225" s="233"/>
      <c r="H225" s="233"/>
      <c r="I225" s="233"/>
      <c r="J225" s="232">
        <f t="shared" si="38"/>
        <v>0</v>
      </c>
      <c r="K225" s="145"/>
      <c r="L225" s="145"/>
      <c r="M225" s="145"/>
      <c r="N225" s="145"/>
      <c r="O225" s="145"/>
      <c r="P225" s="145"/>
      <c r="Q225" s="145"/>
      <c r="R225" s="145"/>
    </row>
    <row r="226" spans="1:18" hidden="1" outlineLevel="1" x14ac:dyDescent="0.3">
      <c r="A226" s="235" t="str">
        <f>'Inputs '!$A$25</f>
        <v>Vibrin</v>
      </c>
      <c r="B226" s="234">
        <f>'Inputs '!J25</f>
        <v>1.3</v>
      </c>
      <c r="C226" s="233"/>
      <c r="D226" s="233"/>
      <c r="E226" s="233"/>
      <c r="F226" s="233"/>
      <c r="G226" s="233"/>
      <c r="H226" s="233"/>
      <c r="I226" s="233"/>
      <c r="J226" s="232">
        <f t="shared" si="38"/>
        <v>0</v>
      </c>
      <c r="K226" s="145"/>
      <c r="L226" s="145"/>
      <c r="M226" s="145"/>
      <c r="N226" s="145"/>
      <c r="O226" s="145"/>
      <c r="P226" s="145"/>
      <c r="Q226" s="145"/>
      <c r="R226" s="145"/>
    </row>
    <row r="227" spans="1:18" hidden="1" outlineLevel="1" x14ac:dyDescent="0.3">
      <c r="A227" s="235" t="str">
        <f>'Inputs '!$A$26</f>
        <v>Lumpyvax</v>
      </c>
      <c r="B227" s="234">
        <f>'Inputs '!J26</f>
        <v>0.7</v>
      </c>
      <c r="C227" s="233"/>
      <c r="D227" s="233"/>
      <c r="E227" s="233"/>
      <c r="F227" s="233"/>
      <c r="G227" s="233"/>
      <c r="H227" s="233"/>
      <c r="I227" s="233"/>
      <c r="J227" s="232">
        <f t="shared" si="38"/>
        <v>0</v>
      </c>
      <c r="K227" s="145"/>
      <c r="L227" s="145"/>
      <c r="M227" s="145"/>
      <c r="N227" s="145"/>
      <c r="O227" s="145"/>
      <c r="P227" s="145"/>
      <c r="Q227" s="145"/>
      <c r="R227" s="145"/>
    </row>
    <row r="228" spans="1:18" hidden="1" outlineLevel="1" x14ac:dyDescent="0.3">
      <c r="A228" s="235" t="str">
        <f>'Inputs '!$A$27</f>
        <v>Bimectin</v>
      </c>
      <c r="B228" s="234">
        <f>'Inputs '!J27</f>
        <v>0.66</v>
      </c>
      <c r="C228" s="233"/>
      <c r="D228" s="233"/>
      <c r="E228" s="233"/>
      <c r="F228" s="233"/>
      <c r="G228" s="233"/>
      <c r="H228" s="233"/>
      <c r="I228" s="233"/>
      <c r="J228" s="232">
        <f t="shared" si="38"/>
        <v>0</v>
      </c>
      <c r="K228" s="145"/>
      <c r="L228" s="145"/>
      <c r="M228" s="145"/>
      <c r="N228" s="145"/>
      <c r="O228" s="145"/>
      <c r="P228" s="145"/>
      <c r="Q228" s="145"/>
      <c r="R228" s="145"/>
    </row>
    <row r="229" spans="1:18" hidden="1" outlineLevel="1" x14ac:dyDescent="0.3">
      <c r="A229" s="235" t="str">
        <f>'Inputs '!$A$28</f>
        <v>Multimin</v>
      </c>
      <c r="B229" s="234">
        <f>'Inputs '!J28</f>
        <v>0.2</v>
      </c>
      <c r="C229" s="233"/>
      <c r="D229" s="233"/>
      <c r="E229" s="233"/>
      <c r="F229" s="233"/>
      <c r="G229" s="233"/>
      <c r="H229" s="233"/>
      <c r="I229" s="233"/>
      <c r="J229" s="232">
        <f t="shared" si="38"/>
        <v>0</v>
      </c>
      <c r="K229" s="145"/>
      <c r="L229" s="145"/>
      <c r="M229" s="145"/>
      <c r="N229" s="145"/>
      <c r="O229" s="145"/>
      <c r="P229" s="145"/>
      <c r="Q229" s="145"/>
      <c r="R229" s="145"/>
    </row>
    <row r="230" spans="1:18" hidden="1" outlineLevel="1" x14ac:dyDescent="0.3">
      <c r="A230" s="235" t="str">
        <f>'Inputs '!$A$29</f>
        <v>Bull Testing</v>
      </c>
      <c r="B230" s="234">
        <f>'Inputs '!J29</f>
        <v>50</v>
      </c>
      <c r="C230" s="233"/>
      <c r="D230" s="233"/>
      <c r="E230" s="233"/>
      <c r="F230" s="233"/>
      <c r="G230" s="233"/>
      <c r="H230" s="233"/>
      <c r="I230" s="233"/>
      <c r="J230" s="232">
        <f t="shared" si="38"/>
        <v>0</v>
      </c>
      <c r="K230" s="145"/>
      <c r="L230" s="145"/>
      <c r="M230" s="145"/>
      <c r="N230" s="145"/>
      <c r="O230" s="145"/>
      <c r="P230" s="145"/>
      <c r="Q230" s="145"/>
      <c r="R230" s="145"/>
    </row>
    <row r="231" spans="1:18" hidden="1" outlineLevel="1" x14ac:dyDescent="0.3">
      <c r="A231" s="235" t="str">
        <f>'Inputs '!$A$30</f>
        <v xml:space="preserve">Ear Tags </v>
      </c>
      <c r="B231" s="234">
        <f>'Inputs '!J30</f>
        <v>6</v>
      </c>
      <c r="C231" s="233"/>
      <c r="D231" s="233"/>
      <c r="E231" s="233"/>
      <c r="F231" s="233"/>
      <c r="G231" s="233"/>
      <c r="H231" s="233"/>
      <c r="I231" s="233"/>
      <c r="J231" s="232">
        <f t="shared" si="38"/>
        <v>0</v>
      </c>
      <c r="K231" s="145"/>
      <c r="L231" s="145"/>
      <c r="M231" s="145"/>
      <c r="N231" s="145"/>
      <c r="O231" s="145"/>
      <c r="P231" s="145"/>
      <c r="Q231" s="145"/>
      <c r="R231" s="145"/>
    </row>
    <row r="232" spans="1:18" hidden="1" outlineLevel="1" x14ac:dyDescent="0.3">
      <c r="A232" s="235" t="str">
        <f>'Inputs '!$A$31</f>
        <v>Flucazole</v>
      </c>
      <c r="B232" s="234">
        <f>'Inputs '!J31</f>
        <v>0.93</v>
      </c>
      <c r="C232" s="233">
        <v>2</v>
      </c>
      <c r="D232" s="233">
        <v>1.3</v>
      </c>
      <c r="E232" s="233">
        <v>1</v>
      </c>
      <c r="F232" s="233">
        <f>200/300</f>
        <v>0.66666666666666663</v>
      </c>
      <c r="G232" s="233">
        <v>1</v>
      </c>
      <c r="H232" s="233">
        <f>200/300</f>
        <v>0.66666666666666663</v>
      </c>
      <c r="I232" s="233">
        <f>100/300</f>
        <v>0.33333333333333331</v>
      </c>
      <c r="J232" s="232">
        <f t="shared" si="38"/>
        <v>131.81584723707616</v>
      </c>
      <c r="K232" s="145"/>
      <c r="L232" s="145"/>
      <c r="M232" s="145"/>
      <c r="N232" s="145"/>
      <c r="O232" s="145"/>
      <c r="P232" s="145"/>
      <c r="Q232" s="145"/>
      <c r="R232" s="145"/>
    </row>
    <row r="233" spans="1:18" hidden="1" outlineLevel="1" x14ac:dyDescent="0.3">
      <c r="A233" s="235" t="str">
        <f>'Inputs '!$A$32</f>
        <v>-</v>
      </c>
      <c r="B233" s="234">
        <f>'Inputs '!J32</f>
        <v>0</v>
      </c>
      <c r="C233" s="233"/>
      <c r="D233" s="233"/>
      <c r="E233" s="233"/>
      <c r="F233" s="233"/>
      <c r="G233" s="233"/>
      <c r="H233" s="233"/>
      <c r="I233" s="233"/>
      <c r="J233" s="232">
        <f t="shared" si="38"/>
        <v>0</v>
      </c>
      <c r="K233" s="145"/>
      <c r="L233" s="145"/>
      <c r="M233" s="145"/>
      <c r="N233" s="145"/>
      <c r="O233" s="145"/>
      <c r="P233" s="145"/>
      <c r="Q233" s="145"/>
      <c r="R233" s="145"/>
    </row>
    <row r="234" spans="1:18" hidden="1" outlineLevel="1" x14ac:dyDescent="0.3">
      <c r="A234" s="235" t="str">
        <f>'Inputs '!$A$33</f>
        <v>-</v>
      </c>
      <c r="B234" s="234">
        <f>'Inputs '!J33</f>
        <v>0</v>
      </c>
      <c r="C234" s="233"/>
      <c r="D234" s="233"/>
      <c r="E234" s="233"/>
      <c r="F234" s="233"/>
      <c r="G234" s="233"/>
      <c r="H234" s="233"/>
      <c r="I234" s="233"/>
      <c r="J234" s="232">
        <f t="shared" si="38"/>
        <v>0</v>
      </c>
      <c r="K234" s="145"/>
      <c r="L234" s="145"/>
      <c r="M234" s="145"/>
      <c r="N234" s="145"/>
      <c r="O234" s="145"/>
      <c r="P234" s="145"/>
      <c r="Q234" s="145"/>
      <c r="R234" s="145"/>
    </row>
    <row r="235" spans="1:18" hidden="1" outlineLevel="1" x14ac:dyDescent="0.3">
      <c r="A235" s="235" t="str">
        <f>'Inputs '!$A$34</f>
        <v>-</v>
      </c>
      <c r="B235" s="234">
        <f>'Inputs '!J34</f>
        <v>0</v>
      </c>
      <c r="C235" s="233"/>
      <c r="D235" s="233"/>
      <c r="E235" s="233"/>
      <c r="F235" s="233"/>
      <c r="G235" s="233"/>
      <c r="H235" s="233"/>
      <c r="I235" s="233"/>
      <c r="J235" s="232">
        <f t="shared" si="38"/>
        <v>0</v>
      </c>
      <c r="K235" s="145"/>
      <c r="L235" s="145"/>
      <c r="M235" s="145"/>
      <c r="N235" s="145"/>
      <c r="O235" s="145"/>
      <c r="P235" s="145"/>
      <c r="Q235" s="145"/>
      <c r="R235" s="145"/>
    </row>
    <row r="236" spans="1:18" hidden="1" outlineLevel="1" x14ac:dyDescent="0.3">
      <c r="A236" s="235" t="str">
        <f>'Inputs '!$A$35</f>
        <v>-</v>
      </c>
      <c r="B236" s="234">
        <f>'Inputs '!J35</f>
        <v>0</v>
      </c>
      <c r="C236" s="233"/>
      <c r="D236" s="233"/>
      <c r="E236" s="233"/>
      <c r="F236" s="233"/>
      <c r="G236" s="233"/>
      <c r="H236" s="233"/>
      <c r="I236" s="233"/>
      <c r="J236" s="232">
        <f t="shared" si="38"/>
        <v>0</v>
      </c>
      <c r="K236" s="145"/>
      <c r="L236" s="145"/>
      <c r="M236" s="145"/>
      <c r="N236" s="145"/>
      <c r="O236" s="145"/>
      <c r="P236" s="145"/>
      <c r="Q236" s="145"/>
      <c r="R236" s="145"/>
    </row>
    <row r="237" spans="1:18" hidden="1" outlineLevel="1" x14ac:dyDescent="0.3">
      <c r="A237" s="235" t="str">
        <f>'Inputs '!$A$36</f>
        <v>-</v>
      </c>
      <c r="B237" s="234">
        <f>'Inputs '!J36</f>
        <v>0</v>
      </c>
      <c r="C237" s="233"/>
      <c r="D237" s="233"/>
      <c r="E237" s="233"/>
      <c r="F237" s="233"/>
      <c r="G237" s="233"/>
      <c r="H237" s="233"/>
      <c r="I237" s="233"/>
      <c r="J237" s="232">
        <f t="shared" si="38"/>
        <v>0</v>
      </c>
      <c r="K237" s="145"/>
      <c r="L237" s="145"/>
      <c r="M237" s="145"/>
      <c r="N237" s="145"/>
      <c r="O237" s="145"/>
      <c r="P237" s="145"/>
      <c r="Q237" s="145"/>
      <c r="R237" s="145"/>
    </row>
    <row r="238" spans="1:18" collapsed="1" x14ac:dyDescent="0.3">
      <c r="A238" s="231" t="s">
        <v>296</v>
      </c>
      <c r="B238" s="147"/>
      <c r="C238" s="146">
        <f t="shared" ref="C238:I238" si="39">SUM($B$62*C222+$B$63*C223+$B$64*C224+$B$65*C225+$B$66*C226+$B$67*C227+$B$68*C228+$B$69*C229+C230*$B$70+$B$71*C231)</f>
        <v>0.57999999999999996</v>
      </c>
      <c r="D238" s="146">
        <f t="shared" si="39"/>
        <v>0.57999999999999996</v>
      </c>
      <c r="E238" s="146">
        <f t="shared" si="39"/>
        <v>0.57999999999999996</v>
      </c>
      <c r="F238" s="146">
        <f t="shared" si="39"/>
        <v>0.57999999999999996</v>
      </c>
      <c r="G238" s="146">
        <f t="shared" si="39"/>
        <v>0.57999999999999996</v>
      </c>
      <c r="H238" s="146">
        <f t="shared" si="39"/>
        <v>0.57999999999999996</v>
      </c>
      <c r="I238" s="146">
        <f t="shared" si="39"/>
        <v>0.57999999999999996</v>
      </c>
      <c r="J238" s="230">
        <f>SUM(J222:J237)</f>
        <v>204.42436041776799</v>
      </c>
      <c r="K238" s="145"/>
      <c r="L238" s="145"/>
      <c r="M238" s="145"/>
      <c r="N238" s="145"/>
      <c r="O238" s="145"/>
      <c r="P238" s="145"/>
      <c r="Q238" s="145"/>
      <c r="R238" s="145"/>
    </row>
    <row r="239" spans="1:18" x14ac:dyDescent="0.3">
      <c r="K239" s="145"/>
      <c r="L239" s="145"/>
      <c r="M239" s="145"/>
      <c r="N239" s="145"/>
      <c r="O239" s="145"/>
      <c r="P239" s="145"/>
      <c r="Q239" s="145"/>
      <c r="R239" s="145"/>
    </row>
    <row r="240" spans="1:18" ht="15" customHeight="1" x14ac:dyDescent="0.3">
      <c r="A240" s="157" t="s">
        <v>303</v>
      </c>
      <c r="B240" s="156">
        <v>31</v>
      </c>
      <c r="C240" s="155"/>
      <c r="D240" s="155"/>
      <c r="E240" s="155"/>
      <c r="F240" s="155"/>
      <c r="G240" s="155"/>
      <c r="H240" s="155"/>
      <c r="I240" s="155"/>
      <c r="J240" s="155"/>
      <c r="K240" s="145"/>
      <c r="L240" s="145"/>
      <c r="M240" s="145"/>
      <c r="N240" s="145"/>
      <c r="O240" s="145"/>
      <c r="P240" s="145"/>
      <c r="Q240" s="145"/>
      <c r="R240" s="145"/>
    </row>
    <row r="241" spans="1:18" ht="36.6" x14ac:dyDescent="0.3">
      <c r="A241" s="154" t="s">
        <v>292</v>
      </c>
      <c r="B241" s="153" t="s">
        <v>332</v>
      </c>
      <c r="C241" s="617" t="s">
        <v>331</v>
      </c>
      <c r="D241" s="617"/>
      <c r="E241" s="617"/>
      <c r="F241" s="617"/>
      <c r="G241" s="617"/>
      <c r="H241" s="617"/>
      <c r="I241" s="617"/>
      <c r="J241" s="161" t="s">
        <v>330</v>
      </c>
      <c r="K241" s="145"/>
      <c r="L241" s="145"/>
      <c r="M241" s="145"/>
      <c r="N241" s="145"/>
      <c r="O241" s="145"/>
      <c r="P241" s="145"/>
      <c r="Q241" s="145"/>
      <c r="R241" s="145"/>
    </row>
    <row r="242" spans="1:18" hidden="1" outlineLevel="1" x14ac:dyDescent="0.3">
      <c r="A242" s="235" t="str">
        <f>'Inputs '!$A$21</f>
        <v>Supa-Dip</v>
      </c>
      <c r="B242" s="234">
        <f>'Inputs '!K21</f>
        <v>0.12</v>
      </c>
      <c r="C242" s="233">
        <v>4</v>
      </c>
      <c r="D242" s="233">
        <v>4</v>
      </c>
      <c r="E242" s="233">
        <v>4</v>
      </c>
      <c r="F242" s="233">
        <v>4</v>
      </c>
      <c r="G242" s="233">
        <v>4</v>
      </c>
      <c r="H242" s="233">
        <v>4</v>
      </c>
      <c r="I242" s="233">
        <v>4</v>
      </c>
      <c r="J242" s="232">
        <f>B242*(C$16*C242+D$16*D242+E$16*E242+F$16*F242+G$16*G242+H$16*H242+I$16*I242)</f>
        <v>71.738427379232931</v>
      </c>
      <c r="K242" s="158"/>
      <c r="L242" s="145"/>
      <c r="M242" s="158"/>
      <c r="N242" s="158"/>
      <c r="O242" s="158"/>
      <c r="P242" s="158"/>
      <c r="Q242" s="158"/>
      <c r="R242" s="158"/>
    </row>
    <row r="243" spans="1:18" hidden="1" outlineLevel="1" x14ac:dyDescent="0.3">
      <c r="A243" s="235" t="str">
        <f>'Inputs '!$A$22</f>
        <v>General Treatments</v>
      </c>
      <c r="B243" s="234">
        <f>'Inputs '!K22</f>
        <v>0.1</v>
      </c>
      <c r="C243" s="233">
        <v>1</v>
      </c>
      <c r="D243" s="233">
        <v>1</v>
      </c>
      <c r="E243" s="233">
        <v>1</v>
      </c>
      <c r="F243" s="233">
        <v>1</v>
      </c>
      <c r="G243" s="233">
        <v>1</v>
      </c>
      <c r="H243" s="233">
        <v>1</v>
      </c>
      <c r="I243" s="233">
        <v>1</v>
      </c>
      <c r="J243" s="232">
        <f t="shared" ref="J243:J257" si="40">B243*(C$16*C243+D$16*D243+E$16*E243+F$16*F243+G$16*G243+H$16*H243+I$16*I243)</f>
        <v>14.945505704006862</v>
      </c>
      <c r="K243" s="145"/>
      <c r="L243" s="145"/>
      <c r="M243" s="145"/>
      <c r="N243" s="145"/>
      <c r="O243" s="145"/>
      <c r="P243" s="145"/>
      <c r="Q243" s="145"/>
      <c r="R243" s="145"/>
    </row>
    <row r="244" spans="1:18" hidden="1" outlineLevel="1" x14ac:dyDescent="0.3">
      <c r="A244" s="235" t="str">
        <f>'Inputs '!$A$23</f>
        <v>Supavax</v>
      </c>
      <c r="B244" s="234">
        <f>'Inputs '!K23</f>
        <v>0.83</v>
      </c>
      <c r="C244" s="233"/>
      <c r="D244" s="233"/>
      <c r="E244" s="233"/>
      <c r="F244" s="233"/>
      <c r="G244" s="233"/>
      <c r="H244" s="233"/>
      <c r="I244" s="233"/>
      <c r="J244" s="232">
        <f t="shared" si="40"/>
        <v>0</v>
      </c>
      <c r="K244" s="145"/>
      <c r="L244" s="145"/>
      <c r="M244" s="145"/>
      <c r="N244" s="145"/>
      <c r="O244" s="145"/>
      <c r="P244" s="145"/>
      <c r="Q244" s="145"/>
      <c r="R244" s="145"/>
    </row>
    <row r="245" spans="1:18" hidden="1" outlineLevel="1" x14ac:dyDescent="0.3">
      <c r="A245" s="235" t="str">
        <f>'Inputs '!$A$24</f>
        <v>S19 Brucelosis</v>
      </c>
      <c r="B245" s="234">
        <f>'Inputs '!K24</f>
        <v>1.49</v>
      </c>
      <c r="C245" s="233"/>
      <c r="D245" s="233"/>
      <c r="E245" s="233"/>
      <c r="F245" s="233"/>
      <c r="G245" s="233"/>
      <c r="H245" s="233"/>
      <c r="I245" s="233"/>
      <c r="J245" s="232">
        <f t="shared" si="40"/>
        <v>0</v>
      </c>
      <c r="K245" s="145"/>
      <c r="L245" s="145"/>
      <c r="M245" s="145"/>
      <c r="N245" s="145"/>
      <c r="O245" s="145"/>
      <c r="P245" s="145"/>
      <c r="Q245" s="145"/>
      <c r="R245" s="145"/>
    </row>
    <row r="246" spans="1:18" hidden="1" outlineLevel="1" x14ac:dyDescent="0.3">
      <c r="A246" s="235" t="str">
        <f>'Inputs '!$A$25</f>
        <v>Vibrin</v>
      </c>
      <c r="B246" s="234">
        <f>'Inputs '!K25</f>
        <v>1.3</v>
      </c>
      <c r="C246" s="233">
        <v>1</v>
      </c>
      <c r="D246" s="233">
        <v>1</v>
      </c>
      <c r="E246" s="233">
        <v>1</v>
      </c>
      <c r="F246" s="233"/>
      <c r="G246" s="233"/>
      <c r="H246" s="233"/>
      <c r="I246" s="233"/>
      <c r="J246" s="232">
        <f>B246*(C$16*C246+D$16*D246+E$16*E246+F$16*F246+G$16*G246+H$16*H246+I$16*I246)</f>
        <v>115.1550500401969</v>
      </c>
      <c r="K246" s="145"/>
      <c r="L246" s="145"/>
      <c r="M246" s="145"/>
      <c r="N246" s="145"/>
      <c r="O246" s="145"/>
      <c r="P246" s="145"/>
      <c r="Q246" s="145"/>
      <c r="R246" s="145"/>
    </row>
    <row r="247" spans="1:18" hidden="1" outlineLevel="1" x14ac:dyDescent="0.3">
      <c r="A247" s="235" t="str">
        <f>'Inputs '!$A$26</f>
        <v>Lumpyvax</v>
      </c>
      <c r="B247" s="234">
        <f>'Inputs '!K26</f>
        <v>0.7</v>
      </c>
      <c r="C247" s="233">
        <v>1</v>
      </c>
      <c r="D247" s="233">
        <v>1</v>
      </c>
      <c r="E247" s="233">
        <v>1</v>
      </c>
      <c r="F247" s="233">
        <v>1</v>
      </c>
      <c r="G247" s="233">
        <v>1</v>
      </c>
      <c r="H247" s="233">
        <v>1</v>
      </c>
      <c r="I247" s="233">
        <v>0</v>
      </c>
      <c r="J247" s="232">
        <f t="shared" si="40"/>
        <v>87.411886773134597</v>
      </c>
      <c r="K247" s="145"/>
      <c r="L247" s="145"/>
      <c r="M247" s="145"/>
      <c r="N247" s="145"/>
      <c r="O247" s="145"/>
      <c r="P247" s="145"/>
      <c r="Q247" s="145"/>
      <c r="R247" s="145"/>
    </row>
    <row r="248" spans="1:18" hidden="1" outlineLevel="1" x14ac:dyDescent="0.3">
      <c r="A248" s="235" t="str">
        <f>'Inputs '!$A$27</f>
        <v>Bimectin</v>
      </c>
      <c r="B248" s="234">
        <f>'Inputs '!K27</f>
        <v>0.66</v>
      </c>
      <c r="C248" s="233">
        <v>1</v>
      </c>
      <c r="D248" s="233">
        <v>1</v>
      </c>
      <c r="E248" s="233">
        <v>1</v>
      </c>
      <c r="F248" s="233"/>
      <c r="G248" s="233"/>
      <c r="H248" s="233"/>
      <c r="I248" s="233"/>
      <c r="J248" s="232">
        <f t="shared" si="40"/>
        <v>58.463333097330732</v>
      </c>
      <c r="K248" s="145"/>
      <c r="L248" s="145"/>
      <c r="M248" s="145"/>
      <c r="N248" s="145"/>
      <c r="O248" s="145"/>
      <c r="P248" s="145"/>
      <c r="Q248" s="145"/>
      <c r="R248" s="145"/>
    </row>
    <row r="249" spans="1:18" hidden="1" outlineLevel="1" x14ac:dyDescent="0.3">
      <c r="A249" s="235" t="str">
        <f>'Inputs '!$A$28</f>
        <v>Multimin</v>
      </c>
      <c r="B249" s="234">
        <f>'Inputs '!K28</f>
        <v>0.2</v>
      </c>
      <c r="C249" s="233">
        <v>1</v>
      </c>
      <c r="D249" s="233">
        <v>1</v>
      </c>
      <c r="E249" s="233">
        <v>1</v>
      </c>
      <c r="F249" s="233">
        <v>1</v>
      </c>
      <c r="G249" s="233">
        <v>1</v>
      </c>
      <c r="H249" s="233">
        <v>1</v>
      </c>
      <c r="I249" s="233">
        <v>1</v>
      </c>
      <c r="J249" s="232">
        <f t="shared" si="40"/>
        <v>29.891011408013725</v>
      </c>
      <c r="K249" s="145"/>
      <c r="L249" s="145"/>
      <c r="M249" s="145"/>
      <c r="N249" s="145"/>
      <c r="O249" s="145"/>
      <c r="P249" s="145"/>
      <c r="Q249" s="145"/>
      <c r="R249" s="145"/>
    </row>
    <row r="250" spans="1:18" hidden="1" outlineLevel="1" x14ac:dyDescent="0.3">
      <c r="A250" s="235" t="str">
        <f>'Inputs '!$A$29</f>
        <v>Bull Testing</v>
      </c>
      <c r="B250" s="234">
        <f>'Inputs '!K29</f>
        <v>50</v>
      </c>
      <c r="C250" s="233"/>
      <c r="D250" s="233"/>
      <c r="E250" s="233"/>
      <c r="F250" s="233"/>
      <c r="G250" s="233"/>
      <c r="H250" s="233"/>
      <c r="I250" s="233"/>
      <c r="J250" s="232">
        <f t="shared" si="40"/>
        <v>0</v>
      </c>
      <c r="K250" s="145"/>
      <c r="L250" s="145"/>
      <c r="M250" s="145"/>
      <c r="N250" s="145"/>
      <c r="O250" s="145"/>
      <c r="P250" s="145"/>
      <c r="Q250" s="145"/>
      <c r="R250" s="145"/>
    </row>
    <row r="251" spans="1:18" hidden="1" outlineLevel="1" x14ac:dyDescent="0.3">
      <c r="A251" s="235" t="str">
        <f>'Inputs '!$A$30</f>
        <v xml:space="preserve">Ear Tags </v>
      </c>
      <c r="B251" s="234">
        <f>'Inputs '!K30</f>
        <v>6</v>
      </c>
      <c r="C251" s="233"/>
      <c r="D251" s="233"/>
      <c r="E251" s="233"/>
      <c r="F251" s="233"/>
      <c r="G251" s="233"/>
      <c r="H251" s="233"/>
      <c r="I251" s="233"/>
      <c r="J251" s="232">
        <f t="shared" si="40"/>
        <v>0</v>
      </c>
      <c r="K251" s="145"/>
      <c r="L251" s="145"/>
      <c r="M251" s="145"/>
      <c r="N251" s="145"/>
      <c r="O251" s="145"/>
      <c r="P251" s="145"/>
      <c r="Q251" s="145"/>
      <c r="R251" s="145"/>
    </row>
    <row r="252" spans="1:18" hidden="1" outlineLevel="1" x14ac:dyDescent="0.3">
      <c r="A252" s="235" t="str">
        <f>'Inputs '!$A$31</f>
        <v>Flucazole</v>
      </c>
      <c r="B252" s="234">
        <f>'Inputs '!K31</f>
        <v>0.93</v>
      </c>
      <c r="C252" s="233"/>
      <c r="D252" s="233"/>
      <c r="E252" s="233"/>
      <c r="F252" s="233"/>
      <c r="G252" s="233"/>
      <c r="H252" s="233"/>
      <c r="I252" s="233"/>
      <c r="J252" s="232">
        <f t="shared" si="40"/>
        <v>0</v>
      </c>
      <c r="K252" s="145"/>
      <c r="L252" s="145"/>
      <c r="M252" s="145"/>
      <c r="N252" s="145"/>
      <c r="O252" s="145"/>
      <c r="P252" s="145"/>
      <c r="Q252" s="145"/>
      <c r="R252" s="145"/>
    </row>
    <row r="253" spans="1:18" hidden="1" outlineLevel="1" x14ac:dyDescent="0.3">
      <c r="A253" s="235" t="str">
        <f>'Inputs '!$A$32</f>
        <v>-</v>
      </c>
      <c r="B253" s="234">
        <f>'Inputs '!K32</f>
        <v>0</v>
      </c>
      <c r="C253" s="233"/>
      <c r="D253" s="233"/>
      <c r="E253" s="233"/>
      <c r="F253" s="233"/>
      <c r="G253" s="233"/>
      <c r="H253" s="233"/>
      <c r="I253" s="233"/>
      <c r="J253" s="232">
        <f t="shared" si="40"/>
        <v>0</v>
      </c>
      <c r="K253" s="145"/>
      <c r="L253" s="145"/>
      <c r="M253" s="145"/>
      <c r="N253" s="145"/>
      <c r="O253" s="145"/>
      <c r="P253" s="145"/>
      <c r="Q253" s="145"/>
      <c r="R253" s="145"/>
    </row>
    <row r="254" spans="1:18" hidden="1" outlineLevel="1" x14ac:dyDescent="0.3">
      <c r="A254" s="235" t="str">
        <f>'Inputs '!$A$33</f>
        <v>-</v>
      </c>
      <c r="B254" s="234">
        <f>'Inputs '!K33</f>
        <v>0</v>
      </c>
      <c r="C254" s="233"/>
      <c r="D254" s="233"/>
      <c r="E254" s="233"/>
      <c r="F254" s="233"/>
      <c r="G254" s="233"/>
      <c r="H254" s="233"/>
      <c r="I254" s="233"/>
      <c r="J254" s="232">
        <f t="shared" si="40"/>
        <v>0</v>
      </c>
      <c r="K254" s="145"/>
      <c r="L254" s="145"/>
      <c r="M254" s="145"/>
      <c r="N254" s="145"/>
      <c r="O254" s="145"/>
      <c r="P254" s="145"/>
      <c r="Q254" s="145"/>
      <c r="R254" s="145"/>
    </row>
    <row r="255" spans="1:18" hidden="1" outlineLevel="1" x14ac:dyDescent="0.3">
      <c r="A255" s="235" t="str">
        <f>'Inputs '!$A$34</f>
        <v>-</v>
      </c>
      <c r="B255" s="234">
        <f>'Inputs '!K34</f>
        <v>0</v>
      </c>
      <c r="C255" s="233"/>
      <c r="D255" s="233"/>
      <c r="E255" s="233"/>
      <c r="F255" s="233"/>
      <c r="G255" s="233"/>
      <c r="H255" s="233"/>
      <c r="I255" s="233"/>
      <c r="J255" s="232">
        <f t="shared" si="40"/>
        <v>0</v>
      </c>
      <c r="K255" s="145"/>
      <c r="L255" s="145"/>
      <c r="M255" s="145"/>
      <c r="N255" s="145"/>
      <c r="O255" s="145"/>
      <c r="P255" s="145"/>
      <c r="Q255" s="145"/>
      <c r="R255" s="145"/>
    </row>
    <row r="256" spans="1:18" hidden="1" outlineLevel="1" x14ac:dyDescent="0.3">
      <c r="A256" s="235" t="str">
        <f>'Inputs '!$A$35</f>
        <v>-</v>
      </c>
      <c r="B256" s="234">
        <f>'Inputs '!K35</f>
        <v>0</v>
      </c>
      <c r="C256" s="233"/>
      <c r="D256" s="233"/>
      <c r="E256" s="233"/>
      <c r="F256" s="233"/>
      <c r="G256" s="233"/>
      <c r="H256" s="233"/>
      <c r="I256" s="233"/>
      <c r="J256" s="232">
        <f t="shared" si="40"/>
        <v>0</v>
      </c>
      <c r="K256" s="145"/>
      <c r="L256" s="145"/>
      <c r="M256" s="145"/>
      <c r="N256" s="145"/>
      <c r="O256" s="145"/>
      <c r="P256" s="145"/>
      <c r="Q256" s="145"/>
      <c r="R256" s="145"/>
    </row>
    <row r="257" spans="1:18" hidden="1" outlineLevel="1" x14ac:dyDescent="0.3">
      <c r="A257" s="235" t="str">
        <f>'Inputs '!$A$36</f>
        <v>-</v>
      </c>
      <c r="B257" s="234">
        <f>'Inputs '!K36</f>
        <v>0</v>
      </c>
      <c r="C257" s="233"/>
      <c r="D257" s="233"/>
      <c r="E257" s="233"/>
      <c r="F257" s="233"/>
      <c r="G257" s="233"/>
      <c r="H257" s="233"/>
      <c r="I257" s="233"/>
      <c r="J257" s="232">
        <f t="shared" si="40"/>
        <v>0</v>
      </c>
      <c r="K257" s="145"/>
      <c r="L257" s="145"/>
      <c r="M257" s="145"/>
      <c r="N257" s="145"/>
      <c r="O257" s="145"/>
      <c r="P257" s="145"/>
      <c r="Q257" s="145"/>
      <c r="R257" s="145"/>
    </row>
    <row r="258" spans="1:18" collapsed="1" x14ac:dyDescent="0.3">
      <c r="A258" s="231" t="s">
        <v>296</v>
      </c>
      <c r="B258" s="147"/>
      <c r="C258" s="146">
        <f t="shared" ref="C258:I258" si="41">SUM($B$62*C242+$B$63*C243+$B$64*C244+$B$65*C245+$B$66*C246+$B$67*C247+$B$68*C248+$B$69*C249+C250*$B$70+$B$71*C251)</f>
        <v>3.4400000000000004</v>
      </c>
      <c r="D258" s="146">
        <f t="shared" si="41"/>
        <v>3.4400000000000004</v>
      </c>
      <c r="E258" s="146">
        <f t="shared" si="41"/>
        <v>3.4400000000000004</v>
      </c>
      <c r="F258" s="146">
        <f t="shared" si="41"/>
        <v>1.4799999999999998</v>
      </c>
      <c r="G258" s="146">
        <f t="shared" si="41"/>
        <v>1.4799999999999998</v>
      </c>
      <c r="H258" s="146">
        <f t="shared" si="41"/>
        <v>1.4799999999999998</v>
      </c>
      <c r="I258" s="146">
        <f t="shared" si="41"/>
        <v>0.78</v>
      </c>
      <c r="J258" s="230">
        <f>SUM(J242:J257)</f>
        <v>377.60521440191576</v>
      </c>
      <c r="K258" s="145"/>
      <c r="L258" s="145"/>
      <c r="M258" s="145"/>
      <c r="N258" s="145"/>
      <c r="O258" s="145"/>
      <c r="P258" s="145"/>
      <c r="Q258" s="145"/>
      <c r="R258" s="145"/>
    </row>
    <row r="259" spans="1:18" x14ac:dyDescent="0.3">
      <c r="K259" s="145"/>
      <c r="L259" s="145"/>
      <c r="M259" s="145"/>
      <c r="N259" s="145"/>
      <c r="O259" s="145"/>
      <c r="P259" s="145"/>
      <c r="Q259" s="145"/>
      <c r="R259" s="145"/>
    </row>
    <row r="260" spans="1:18" x14ac:dyDescent="0.3">
      <c r="A260" s="157" t="s">
        <v>302</v>
      </c>
      <c r="B260" s="156">
        <v>30</v>
      </c>
      <c r="C260" s="155"/>
      <c r="D260" s="155"/>
      <c r="E260" s="155"/>
      <c r="F260" s="155"/>
      <c r="G260" s="155"/>
      <c r="H260" s="155"/>
      <c r="I260" s="155"/>
      <c r="J260" s="155"/>
      <c r="K260" s="145"/>
      <c r="L260" s="145"/>
      <c r="M260" s="145"/>
      <c r="N260" s="145"/>
      <c r="O260" s="145"/>
      <c r="P260" s="145"/>
      <c r="Q260" s="145"/>
      <c r="R260" s="145"/>
    </row>
    <row r="261" spans="1:18" ht="36.6" x14ac:dyDescent="0.3">
      <c r="A261" s="154" t="s">
        <v>292</v>
      </c>
      <c r="B261" s="153" t="s">
        <v>332</v>
      </c>
      <c r="C261" s="617" t="s">
        <v>331</v>
      </c>
      <c r="D261" s="617"/>
      <c r="E261" s="617"/>
      <c r="F261" s="617"/>
      <c r="G261" s="617"/>
      <c r="H261" s="617"/>
      <c r="I261" s="617"/>
      <c r="J261" s="161" t="s">
        <v>330</v>
      </c>
      <c r="K261" s="145"/>
      <c r="L261" s="145"/>
      <c r="M261" s="145"/>
      <c r="N261" s="145"/>
      <c r="O261" s="145"/>
      <c r="P261" s="145"/>
      <c r="Q261" s="145"/>
      <c r="R261" s="145"/>
    </row>
    <row r="262" spans="1:18" hidden="1" outlineLevel="1" x14ac:dyDescent="0.3">
      <c r="A262" s="235" t="str">
        <f>'Inputs '!$A$21</f>
        <v>Supa-Dip</v>
      </c>
      <c r="B262" s="234">
        <f>'Inputs '!L21</f>
        <v>0.12</v>
      </c>
      <c r="C262" s="233">
        <v>4</v>
      </c>
      <c r="D262" s="233">
        <v>4</v>
      </c>
      <c r="E262" s="233">
        <v>4</v>
      </c>
      <c r="F262" s="233">
        <v>4</v>
      </c>
      <c r="G262" s="233">
        <v>4</v>
      </c>
      <c r="H262" s="233">
        <v>4</v>
      </c>
      <c r="I262" s="233">
        <v>4</v>
      </c>
      <c r="J262" s="232">
        <f>B262*(C$17*C262+D$17*D262+E$17*E262+F$17*F262+G$17*G262+H$17*H262+I$17*I262)</f>
        <v>83.357929188439783</v>
      </c>
      <c r="K262" s="145"/>
      <c r="L262" s="145"/>
      <c r="M262" s="145"/>
      <c r="N262" s="145"/>
      <c r="O262" s="145"/>
      <c r="P262" s="145"/>
      <c r="Q262" s="145"/>
      <c r="R262" s="145"/>
    </row>
    <row r="263" spans="1:18" hidden="1" outlineLevel="1" x14ac:dyDescent="0.3">
      <c r="A263" s="235" t="str">
        <f>'Inputs '!$A$22</f>
        <v>General Treatments</v>
      </c>
      <c r="B263" s="234">
        <f>'Inputs '!L22</f>
        <v>0.1</v>
      </c>
      <c r="C263" s="233">
        <v>1</v>
      </c>
      <c r="D263" s="233">
        <v>1</v>
      </c>
      <c r="E263" s="233">
        <v>1</v>
      </c>
      <c r="F263" s="233">
        <v>1</v>
      </c>
      <c r="G263" s="233">
        <v>1</v>
      </c>
      <c r="H263" s="233">
        <v>1</v>
      </c>
      <c r="I263" s="233">
        <v>1</v>
      </c>
      <c r="J263" s="232">
        <f t="shared" ref="J263:J277" si="42">B263*(C$17*C263+D$17*D263+E$17*E263+F$17*F263+G$17*G263+H$17*H263+I$17*I263)</f>
        <v>17.366235247591622</v>
      </c>
      <c r="K263" s="145"/>
      <c r="L263" s="145"/>
      <c r="M263" s="145"/>
      <c r="N263" s="145"/>
      <c r="O263" s="145"/>
      <c r="P263" s="145"/>
      <c r="Q263" s="145"/>
      <c r="R263" s="145"/>
    </row>
    <row r="264" spans="1:18" hidden="1" outlineLevel="1" x14ac:dyDescent="0.3">
      <c r="A264" s="235" t="str">
        <f>'Inputs '!$A$23</f>
        <v>Supavax</v>
      </c>
      <c r="B264" s="234">
        <f>'Inputs '!L23</f>
        <v>0.83</v>
      </c>
      <c r="C264" s="233"/>
      <c r="D264" s="233"/>
      <c r="E264" s="233"/>
      <c r="F264" s="233"/>
      <c r="G264" s="233"/>
      <c r="H264" s="233"/>
      <c r="I264" s="233"/>
      <c r="J264" s="232">
        <f t="shared" si="42"/>
        <v>0</v>
      </c>
      <c r="K264" s="145"/>
      <c r="L264" s="145"/>
      <c r="M264" s="145"/>
      <c r="N264" s="145"/>
      <c r="O264" s="145"/>
      <c r="P264" s="145"/>
      <c r="Q264" s="145"/>
      <c r="R264" s="145"/>
    </row>
    <row r="265" spans="1:18" ht="15" hidden="1" customHeight="1" outlineLevel="1" x14ac:dyDescent="0.3">
      <c r="A265" s="235" t="str">
        <f>'Inputs '!$A$24</f>
        <v>S19 Brucelosis</v>
      </c>
      <c r="B265" s="234">
        <f>'Inputs '!L24</f>
        <v>1.49</v>
      </c>
      <c r="C265" s="233"/>
      <c r="D265" s="233"/>
      <c r="E265" s="233"/>
      <c r="F265" s="233"/>
      <c r="G265" s="233"/>
      <c r="H265" s="233"/>
      <c r="I265" s="233"/>
      <c r="J265" s="232">
        <f t="shared" si="42"/>
        <v>0</v>
      </c>
      <c r="K265" s="145"/>
      <c r="L265" s="145"/>
      <c r="M265" s="145"/>
      <c r="N265" s="145"/>
      <c r="O265" s="145"/>
      <c r="P265" s="145"/>
      <c r="Q265" s="145"/>
      <c r="R265" s="145"/>
    </row>
    <row r="266" spans="1:18" hidden="1" outlineLevel="1" x14ac:dyDescent="0.3">
      <c r="A266" s="235" t="str">
        <f>'Inputs '!$A$25</f>
        <v>Vibrin</v>
      </c>
      <c r="B266" s="234">
        <f>'Inputs '!L25</f>
        <v>1.3</v>
      </c>
      <c r="C266" s="233"/>
      <c r="D266" s="233"/>
      <c r="E266" s="233"/>
      <c r="F266" s="233"/>
      <c r="G266" s="233"/>
      <c r="H266" s="233"/>
      <c r="I266" s="233"/>
      <c r="J266" s="232">
        <f t="shared" si="42"/>
        <v>0</v>
      </c>
      <c r="K266" s="145"/>
      <c r="L266" s="145"/>
      <c r="M266" s="145"/>
      <c r="N266" s="145"/>
      <c r="O266" s="145"/>
      <c r="P266" s="145"/>
      <c r="Q266" s="145"/>
      <c r="R266" s="145"/>
    </row>
    <row r="267" spans="1:18" hidden="1" outlineLevel="1" x14ac:dyDescent="0.3">
      <c r="A267" s="235" t="str">
        <f>'Inputs '!$A$26</f>
        <v>Lumpyvax</v>
      </c>
      <c r="B267" s="234">
        <f>'Inputs '!L26</f>
        <v>0.7</v>
      </c>
      <c r="C267" s="233"/>
      <c r="D267" s="233"/>
      <c r="E267" s="233"/>
      <c r="F267" s="233"/>
      <c r="G267" s="233"/>
      <c r="H267" s="233"/>
      <c r="I267" s="233"/>
      <c r="J267" s="232">
        <f t="shared" si="42"/>
        <v>0</v>
      </c>
      <c r="K267" s="158"/>
      <c r="L267" s="158"/>
      <c r="M267" s="158"/>
      <c r="N267" s="158"/>
      <c r="O267" s="158"/>
      <c r="P267" s="158"/>
      <c r="Q267" s="158"/>
      <c r="R267" s="158"/>
    </row>
    <row r="268" spans="1:18" hidden="1" outlineLevel="1" x14ac:dyDescent="0.3">
      <c r="A268" s="235" t="str">
        <f>'Inputs '!$A$27</f>
        <v>Bimectin</v>
      </c>
      <c r="B268" s="234">
        <f>'Inputs '!L27</f>
        <v>0.66</v>
      </c>
      <c r="C268" s="233"/>
      <c r="D268" s="233"/>
      <c r="E268" s="233"/>
      <c r="F268" s="233"/>
      <c r="G268" s="233"/>
      <c r="H268" s="233"/>
      <c r="I268" s="233"/>
      <c r="J268" s="232">
        <f t="shared" si="42"/>
        <v>0</v>
      </c>
      <c r="K268" s="145"/>
      <c r="L268" s="145"/>
      <c r="M268" s="145"/>
      <c r="N268" s="145"/>
      <c r="O268" s="145"/>
      <c r="P268" s="145"/>
      <c r="Q268" s="145"/>
      <c r="R268" s="145"/>
    </row>
    <row r="269" spans="1:18" hidden="1" outlineLevel="1" x14ac:dyDescent="0.3">
      <c r="A269" s="235" t="str">
        <f>'Inputs '!$A$28</f>
        <v>Multimin</v>
      </c>
      <c r="B269" s="234">
        <f>'Inputs '!L28</f>
        <v>0.2</v>
      </c>
      <c r="C269" s="233"/>
      <c r="D269" s="233"/>
      <c r="E269" s="233"/>
      <c r="F269" s="233"/>
      <c r="G269" s="233"/>
      <c r="H269" s="233"/>
      <c r="I269" s="233"/>
      <c r="J269" s="232">
        <f t="shared" si="42"/>
        <v>0</v>
      </c>
      <c r="K269" s="145"/>
      <c r="L269" s="145"/>
      <c r="M269" s="145"/>
      <c r="N269" s="145"/>
      <c r="O269" s="145"/>
      <c r="P269" s="145"/>
      <c r="Q269" s="145"/>
      <c r="R269" s="145"/>
    </row>
    <row r="270" spans="1:18" hidden="1" outlineLevel="1" x14ac:dyDescent="0.3">
      <c r="A270" s="235" t="str">
        <f>'Inputs '!$A$29</f>
        <v>Bull Testing</v>
      </c>
      <c r="B270" s="234">
        <f>'Inputs '!L29</f>
        <v>50</v>
      </c>
      <c r="C270" s="233"/>
      <c r="D270" s="233"/>
      <c r="E270" s="233"/>
      <c r="F270" s="233"/>
      <c r="G270" s="233"/>
      <c r="H270" s="233"/>
      <c r="I270" s="233"/>
      <c r="J270" s="232">
        <f t="shared" si="42"/>
        <v>0</v>
      </c>
      <c r="K270" s="145"/>
      <c r="L270" s="145"/>
      <c r="M270" s="145"/>
      <c r="N270" s="145"/>
      <c r="O270" s="145"/>
      <c r="P270" s="145"/>
      <c r="Q270" s="145"/>
      <c r="R270" s="145"/>
    </row>
    <row r="271" spans="1:18" hidden="1" outlineLevel="1" x14ac:dyDescent="0.3">
      <c r="A271" s="235" t="str">
        <f>'Inputs '!$A$30</f>
        <v xml:space="preserve">Ear Tags </v>
      </c>
      <c r="B271" s="234">
        <f>'Inputs '!L30</f>
        <v>6</v>
      </c>
      <c r="C271" s="233"/>
      <c r="D271" s="233"/>
      <c r="E271" s="233"/>
      <c r="F271" s="233"/>
      <c r="G271" s="233"/>
      <c r="H271" s="233"/>
      <c r="I271" s="233"/>
      <c r="J271" s="232">
        <f t="shared" si="42"/>
        <v>0</v>
      </c>
      <c r="K271" s="145"/>
      <c r="L271" s="145"/>
      <c r="M271" s="145"/>
      <c r="N271" s="145"/>
      <c r="O271" s="145"/>
      <c r="P271" s="145"/>
      <c r="Q271" s="145"/>
      <c r="R271" s="145"/>
    </row>
    <row r="272" spans="1:18" hidden="1" outlineLevel="1" x14ac:dyDescent="0.3">
      <c r="A272" s="235" t="str">
        <f>'Inputs '!$A$31</f>
        <v>Flucazole</v>
      </c>
      <c r="B272" s="234">
        <f>'Inputs '!L31</f>
        <v>0.93</v>
      </c>
      <c r="C272" s="233"/>
      <c r="D272" s="233"/>
      <c r="E272" s="233"/>
      <c r="F272" s="233"/>
      <c r="G272" s="233"/>
      <c r="H272" s="233"/>
      <c r="I272" s="233"/>
      <c r="J272" s="232">
        <f t="shared" si="42"/>
        <v>0</v>
      </c>
      <c r="K272" s="145"/>
      <c r="L272" s="145"/>
      <c r="M272" s="145"/>
      <c r="N272" s="145"/>
      <c r="O272" s="145"/>
      <c r="P272" s="145"/>
      <c r="Q272" s="145"/>
      <c r="R272" s="145"/>
    </row>
    <row r="273" spans="1:18" hidden="1" outlineLevel="1" x14ac:dyDescent="0.3">
      <c r="A273" s="235" t="str">
        <f>'Inputs '!$A$32</f>
        <v>-</v>
      </c>
      <c r="B273" s="234">
        <f>'Inputs '!L32</f>
        <v>0</v>
      </c>
      <c r="C273" s="233"/>
      <c r="D273" s="233"/>
      <c r="E273" s="233"/>
      <c r="F273" s="233"/>
      <c r="G273" s="233"/>
      <c r="H273" s="233"/>
      <c r="I273" s="233"/>
      <c r="J273" s="232">
        <f t="shared" si="42"/>
        <v>0</v>
      </c>
      <c r="K273" s="145"/>
      <c r="L273" s="145"/>
      <c r="M273" s="145"/>
      <c r="N273" s="145"/>
      <c r="O273" s="145"/>
      <c r="P273" s="145"/>
      <c r="Q273" s="145"/>
      <c r="R273" s="145"/>
    </row>
    <row r="274" spans="1:18" hidden="1" outlineLevel="1" x14ac:dyDescent="0.3">
      <c r="A274" s="235" t="str">
        <f>'Inputs '!$A$33</f>
        <v>-</v>
      </c>
      <c r="B274" s="234">
        <f>'Inputs '!L33</f>
        <v>0</v>
      </c>
      <c r="C274" s="233"/>
      <c r="D274" s="233"/>
      <c r="E274" s="233"/>
      <c r="F274" s="233"/>
      <c r="G274" s="233"/>
      <c r="H274" s="233"/>
      <c r="I274" s="233"/>
      <c r="J274" s="232">
        <f t="shared" si="42"/>
        <v>0</v>
      </c>
      <c r="K274" s="145"/>
      <c r="L274" s="145"/>
      <c r="M274" s="145"/>
      <c r="N274" s="145"/>
      <c r="O274" s="145"/>
      <c r="P274" s="145"/>
      <c r="Q274" s="145"/>
      <c r="R274" s="145"/>
    </row>
    <row r="275" spans="1:18" hidden="1" outlineLevel="1" x14ac:dyDescent="0.3">
      <c r="A275" s="235" t="str">
        <f>'Inputs '!$A$34</f>
        <v>-</v>
      </c>
      <c r="B275" s="234">
        <f>'Inputs '!L34</f>
        <v>0</v>
      </c>
      <c r="C275" s="233"/>
      <c r="D275" s="233"/>
      <c r="E275" s="233"/>
      <c r="F275" s="233"/>
      <c r="G275" s="233"/>
      <c r="H275" s="233"/>
      <c r="I275" s="233"/>
      <c r="J275" s="232">
        <f t="shared" si="42"/>
        <v>0</v>
      </c>
      <c r="K275" s="145"/>
      <c r="L275" s="145"/>
      <c r="M275" s="145"/>
      <c r="N275" s="145"/>
      <c r="O275" s="145"/>
      <c r="P275" s="145"/>
      <c r="Q275" s="145"/>
      <c r="R275" s="145"/>
    </row>
    <row r="276" spans="1:18" hidden="1" outlineLevel="1" x14ac:dyDescent="0.3">
      <c r="A276" s="235" t="str">
        <f>'Inputs '!$A$35</f>
        <v>-</v>
      </c>
      <c r="B276" s="234">
        <f>'Inputs '!L35</f>
        <v>0</v>
      </c>
      <c r="C276" s="233"/>
      <c r="D276" s="233"/>
      <c r="E276" s="233"/>
      <c r="F276" s="233"/>
      <c r="G276" s="233"/>
      <c r="H276" s="233"/>
      <c r="I276" s="233"/>
      <c r="J276" s="232">
        <f t="shared" si="42"/>
        <v>0</v>
      </c>
      <c r="K276" s="145"/>
      <c r="L276" s="145"/>
      <c r="M276" s="145"/>
      <c r="N276" s="145"/>
      <c r="O276" s="145"/>
      <c r="P276" s="145"/>
      <c r="Q276" s="145"/>
      <c r="R276" s="145"/>
    </row>
    <row r="277" spans="1:18" hidden="1" outlineLevel="1" x14ac:dyDescent="0.3">
      <c r="A277" s="235" t="str">
        <f>'Inputs '!$A$36</f>
        <v>-</v>
      </c>
      <c r="B277" s="234">
        <f>'Inputs '!L36</f>
        <v>0</v>
      </c>
      <c r="C277" s="233"/>
      <c r="D277" s="233"/>
      <c r="E277" s="233"/>
      <c r="F277" s="233"/>
      <c r="G277" s="233"/>
      <c r="H277" s="233"/>
      <c r="I277" s="233"/>
      <c r="J277" s="232">
        <f t="shared" si="42"/>
        <v>0</v>
      </c>
      <c r="K277" s="145"/>
      <c r="L277" s="145"/>
      <c r="M277" s="145"/>
      <c r="N277" s="145"/>
      <c r="O277" s="145"/>
      <c r="P277" s="145"/>
      <c r="Q277" s="145"/>
      <c r="R277" s="145"/>
    </row>
    <row r="278" spans="1:18" collapsed="1" x14ac:dyDescent="0.3">
      <c r="A278" s="231" t="s">
        <v>296</v>
      </c>
      <c r="B278" s="147"/>
      <c r="C278" s="146">
        <f t="shared" ref="C278:I278" si="43">SUM($B$62*C262+$B$63*C263+$B$64*C264+$B$65*C265+$B$66*C266+$B$67*C267+$B$68*C268+$B$69*C269+C270*$B$70+$B$71*C271)</f>
        <v>0.57999999999999996</v>
      </c>
      <c r="D278" s="146">
        <f t="shared" si="43"/>
        <v>0.57999999999999996</v>
      </c>
      <c r="E278" s="146">
        <f t="shared" si="43"/>
        <v>0.57999999999999996</v>
      </c>
      <c r="F278" s="146">
        <f t="shared" si="43"/>
        <v>0.57999999999999996</v>
      </c>
      <c r="G278" s="146">
        <f t="shared" si="43"/>
        <v>0.57999999999999996</v>
      </c>
      <c r="H278" s="146">
        <f t="shared" si="43"/>
        <v>0.57999999999999996</v>
      </c>
      <c r="I278" s="146">
        <f t="shared" si="43"/>
        <v>0.57999999999999996</v>
      </c>
      <c r="J278" s="230">
        <f>SUM(J262:J277)</f>
        <v>100.7241644360314</v>
      </c>
      <c r="K278" s="145"/>
      <c r="L278" s="145"/>
      <c r="M278" s="145"/>
      <c r="N278" s="145"/>
      <c r="O278" s="145"/>
      <c r="P278" s="145"/>
      <c r="Q278" s="145"/>
      <c r="R278" s="145"/>
    </row>
    <row r="279" spans="1:18" x14ac:dyDescent="0.3">
      <c r="K279" s="145"/>
      <c r="L279" s="145"/>
      <c r="M279" s="145"/>
      <c r="N279" s="145"/>
      <c r="O279" s="145"/>
      <c r="P279" s="145"/>
      <c r="Q279" s="145"/>
      <c r="R279" s="145"/>
    </row>
    <row r="280" spans="1:18" x14ac:dyDescent="0.3">
      <c r="A280" s="157" t="s">
        <v>301</v>
      </c>
      <c r="B280" s="156">
        <v>31</v>
      </c>
      <c r="C280" s="155"/>
      <c r="D280" s="155"/>
      <c r="E280" s="155"/>
      <c r="F280" s="155"/>
      <c r="G280" s="155"/>
      <c r="H280" s="155"/>
      <c r="I280" s="155"/>
      <c r="J280" s="155"/>
      <c r="K280" s="145"/>
      <c r="L280" s="145"/>
      <c r="M280" s="145"/>
      <c r="N280" s="145"/>
      <c r="O280" s="145"/>
      <c r="P280" s="145"/>
      <c r="Q280" s="145"/>
      <c r="R280" s="145"/>
    </row>
    <row r="281" spans="1:18" ht="36.6" x14ac:dyDescent="0.3">
      <c r="A281" s="154" t="s">
        <v>292</v>
      </c>
      <c r="B281" s="153" t="s">
        <v>332</v>
      </c>
      <c r="C281" s="617" t="s">
        <v>331</v>
      </c>
      <c r="D281" s="617"/>
      <c r="E281" s="617"/>
      <c r="F281" s="617"/>
      <c r="G281" s="617"/>
      <c r="H281" s="617"/>
      <c r="I281" s="617"/>
      <c r="J281" s="161" t="s">
        <v>330</v>
      </c>
      <c r="K281" s="145"/>
      <c r="L281" s="145"/>
      <c r="M281" s="145"/>
      <c r="N281" s="145"/>
      <c r="O281" s="145"/>
      <c r="P281" s="145"/>
      <c r="Q281" s="145"/>
      <c r="R281" s="145"/>
    </row>
    <row r="282" spans="1:18" hidden="1" outlineLevel="1" x14ac:dyDescent="0.3">
      <c r="A282" s="235" t="str">
        <f>'Inputs '!$A$21</f>
        <v>Supa-Dip</v>
      </c>
      <c r="B282" s="234">
        <f>'Inputs '!M21</f>
        <v>0.12</v>
      </c>
      <c r="C282" s="233">
        <v>4</v>
      </c>
      <c r="D282" s="233">
        <v>4</v>
      </c>
      <c r="E282" s="233">
        <v>4</v>
      </c>
      <c r="F282" s="233">
        <v>4</v>
      </c>
      <c r="G282" s="233">
        <v>4</v>
      </c>
      <c r="H282" s="233">
        <v>4</v>
      </c>
      <c r="I282" s="233">
        <v>4</v>
      </c>
      <c r="J282" s="232">
        <f>B282*(C$18*C282+D$18*D282+E$18*E282+F$18*F282+G$18*G282+H$18*H282+I$18*I282)</f>
        <v>88.228382243123605</v>
      </c>
      <c r="K282" s="145"/>
      <c r="L282" s="145"/>
      <c r="M282" s="145"/>
      <c r="N282" s="145"/>
      <c r="O282" s="145"/>
      <c r="P282" s="145"/>
      <c r="Q282" s="145"/>
      <c r="R282" s="145"/>
    </row>
    <row r="283" spans="1:18" hidden="1" outlineLevel="1" x14ac:dyDescent="0.3">
      <c r="A283" s="235" t="str">
        <f>'Inputs '!$A$22</f>
        <v>General Treatments</v>
      </c>
      <c r="B283" s="234">
        <f>'Inputs '!M22</f>
        <v>0.1</v>
      </c>
      <c r="C283" s="233">
        <v>1</v>
      </c>
      <c r="D283" s="233">
        <v>1</v>
      </c>
      <c r="E283" s="233">
        <v>1</v>
      </c>
      <c r="F283" s="233">
        <v>1</v>
      </c>
      <c r="G283" s="233">
        <v>1</v>
      </c>
      <c r="H283" s="233">
        <v>1</v>
      </c>
      <c r="I283" s="233">
        <v>1</v>
      </c>
      <c r="J283" s="232">
        <f t="shared" ref="J283:J297" si="44">B283*(C$18*C283+D$18*D283+E$18*E283+F$18*F283+G$18*G283+H$18*H283+I$18*I283)</f>
        <v>18.380912967317418</v>
      </c>
      <c r="K283" s="145"/>
      <c r="L283" s="145"/>
      <c r="M283" s="145"/>
      <c r="N283" s="145"/>
      <c r="O283" s="145"/>
      <c r="P283" s="145"/>
      <c r="Q283" s="145"/>
      <c r="R283" s="145"/>
    </row>
    <row r="284" spans="1:18" hidden="1" outlineLevel="1" x14ac:dyDescent="0.3">
      <c r="A284" s="235" t="str">
        <f>'Inputs '!$A$23</f>
        <v>Supavax</v>
      </c>
      <c r="B284" s="234">
        <f>'Inputs '!M23</f>
        <v>0.83</v>
      </c>
      <c r="C284" s="233"/>
      <c r="D284" s="233"/>
      <c r="E284" s="233"/>
      <c r="F284" s="233"/>
      <c r="G284" s="233"/>
      <c r="H284" s="233"/>
      <c r="I284" s="233"/>
      <c r="J284" s="232">
        <f t="shared" si="44"/>
        <v>0</v>
      </c>
      <c r="K284" s="145"/>
      <c r="L284" s="145"/>
      <c r="M284" s="145"/>
      <c r="N284" s="145"/>
      <c r="O284" s="145"/>
      <c r="P284" s="145"/>
      <c r="Q284" s="145"/>
      <c r="R284" s="145"/>
    </row>
    <row r="285" spans="1:18" hidden="1" outlineLevel="1" x14ac:dyDescent="0.3">
      <c r="A285" s="235" t="str">
        <f>'Inputs '!$A$24</f>
        <v>S19 Brucelosis</v>
      </c>
      <c r="B285" s="234">
        <f>'Inputs '!M24</f>
        <v>1.49</v>
      </c>
      <c r="C285" s="233"/>
      <c r="D285" s="233"/>
      <c r="E285" s="233"/>
      <c r="F285" s="233"/>
      <c r="G285" s="233"/>
      <c r="H285" s="233"/>
      <c r="I285" s="233"/>
      <c r="J285" s="232">
        <f t="shared" si="44"/>
        <v>0</v>
      </c>
      <c r="K285" s="145"/>
      <c r="L285" s="145"/>
      <c r="M285" s="145"/>
      <c r="N285" s="145"/>
      <c r="O285" s="145"/>
      <c r="P285" s="145"/>
      <c r="Q285" s="145"/>
      <c r="R285" s="145"/>
    </row>
    <row r="286" spans="1:18" hidden="1" outlineLevel="1" x14ac:dyDescent="0.3">
      <c r="A286" s="235" t="str">
        <f>'Inputs '!$A$25</f>
        <v>Vibrin</v>
      </c>
      <c r="B286" s="234">
        <f>'Inputs '!M25</f>
        <v>1.3</v>
      </c>
      <c r="C286" s="233"/>
      <c r="D286" s="233"/>
      <c r="E286" s="233"/>
      <c r="F286" s="233"/>
      <c r="G286" s="233"/>
      <c r="H286" s="233"/>
      <c r="I286" s="233"/>
      <c r="J286" s="232">
        <f t="shared" si="44"/>
        <v>0</v>
      </c>
      <c r="K286" s="145"/>
      <c r="L286" s="145"/>
      <c r="M286" s="145"/>
      <c r="N286" s="145"/>
      <c r="O286" s="145"/>
      <c r="P286" s="145"/>
      <c r="Q286" s="145"/>
      <c r="R286" s="145"/>
    </row>
    <row r="287" spans="1:18" hidden="1" outlineLevel="1" x14ac:dyDescent="0.3">
      <c r="A287" s="235" t="str">
        <f>'Inputs '!$A$26</f>
        <v>Lumpyvax</v>
      </c>
      <c r="B287" s="234">
        <f>'Inputs '!M26</f>
        <v>0.7</v>
      </c>
      <c r="C287" s="233"/>
      <c r="D287" s="233"/>
      <c r="E287" s="233"/>
      <c r="F287" s="233"/>
      <c r="G287" s="233"/>
      <c r="H287" s="233"/>
      <c r="I287" s="233"/>
      <c r="J287" s="232">
        <f t="shared" si="44"/>
        <v>0</v>
      </c>
      <c r="K287" s="145"/>
      <c r="L287" s="145"/>
      <c r="M287" s="145"/>
      <c r="N287" s="145"/>
      <c r="O287" s="145"/>
      <c r="P287" s="145"/>
      <c r="Q287" s="145"/>
      <c r="R287" s="145"/>
    </row>
    <row r="288" spans="1:18" hidden="1" outlineLevel="1" x14ac:dyDescent="0.3">
      <c r="A288" s="235" t="str">
        <f>'Inputs '!$A$27</f>
        <v>Bimectin</v>
      </c>
      <c r="B288" s="234">
        <f>'Inputs '!M27</f>
        <v>0.66</v>
      </c>
      <c r="C288" s="233"/>
      <c r="D288" s="233"/>
      <c r="E288" s="233"/>
      <c r="F288" s="233"/>
      <c r="G288" s="233"/>
      <c r="H288" s="233"/>
      <c r="I288" s="233"/>
      <c r="J288" s="232">
        <f t="shared" si="44"/>
        <v>0</v>
      </c>
      <c r="K288" s="145"/>
      <c r="L288" s="145"/>
      <c r="M288" s="145"/>
      <c r="N288" s="145"/>
      <c r="O288" s="145"/>
      <c r="P288" s="145"/>
      <c r="Q288" s="145"/>
      <c r="R288" s="145"/>
    </row>
    <row r="289" spans="1:18" hidden="1" outlineLevel="1" x14ac:dyDescent="0.3">
      <c r="A289" s="235" t="str">
        <f>'Inputs '!$A$28</f>
        <v>Multimin</v>
      </c>
      <c r="B289" s="234">
        <f>'Inputs '!M28</f>
        <v>0.2</v>
      </c>
      <c r="C289" s="233"/>
      <c r="D289" s="233"/>
      <c r="E289" s="233"/>
      <c r="F289" s="233"/>
      <c r="G289" s="233"/>
      <c r="H289" s="233"/>
      <c r="I289" s="233"/>
      <c r="J289" s="232">
        <f t="shared" si="44"/>
        <v>0</v>
      </c>
      <c r="K289" s="145"/>
      <c r="L289" s="145"/>
      <c r="M289" s="145"/>
      <c r="N289" s="145"/>
      <c r="O289" s="145"/>
      <c r="P289" s="145"/>
      <c r="Q289" s="145"/>
      <c r="R289" s="145"/>
    </row>
    <row r="290" spans="1:18" ht="15" hidden="1" customHeight="1" outlineLevel="1" x14ac:dyDescent="0.3">
      <c r="A290" s="235" t="str">
        <f>'Inputs '!$A$29</f>
        <v>Bull Testing</v>
      </c>
      <c r="B290" s="234">
        <f>'Inputs '!M29</f>
        <v>50</v>
      </c>
      <c r="C290" s="233"/>
      <c r="D290" s="233"/>
      <c r="E290" s="233"/>
      <c r="F290" s="233"/>
      <c r="G290" s="233"/>
      <c r="H290" s="233"/>
      <c r="I290" s="233"/>
      <c r="J290" s="232">
        <f t="shared" si="44"/>
        <v>0</v>
      </c>
      <c r="K290" s="145"/>
      <c r="L290" s="145"/>
      <c r="M290" s="145"/>
      <c r="N290" s="145"/>
      <c r="O290" s="145"/>
      <c r="P290" s="145"/>
      <c r="Q290" s="145"/>
      <c r="R290" s="145"/>
    </row>
    <row r="291" spans="1:18" hidden="1" outlineLevel="1" x14ac:dyDescent="0.3">
      <c r="A291" s="235" t="str">
        <f>'Inputs '!$A$30</f>
        <v xml:space="preserve">Ear Tags </v>
      </c>
      <c r="B291" s="234">
        <f>'Inputs '!M30</f>
        <v>6</v>
      </c>
      <c r="C291" s="233"/>
      <c r="D291" s="233"/>
      <c r="E291" s="233"/>
      <c r="F291" s="233"/>
      <c r="G291" s="233"/>
      <c r="H291" s="233"/>
      <c r="I291" s="233"/>
      <c r="J291" s="232">
        <f t="shared" si="44"/>
        <v>0</v>
      </c>
      <c r="K291" s="145"/>
      <c r="L291" s="145"/>
      <c r="M291" s="145"/>
      <c r="N291" s="145"/>
      <c r="O291" s="145"/>
      <c r="P291" s="145"/>
      <c r="Q291" s="145"/>
      <c r="R291" s="145"/>
    </row>
    <row r="292" spans="1:18" hidden="1" outlineLevel="1" x14ac:dyDescent="0.3">
      <c r="A292" s="235" t="str">
        <f>'Inputs '!$A$31</f>
        <v>Flucazole</v>
      </c>
      <c r="B292" s="234">
        <f>'Inputs '!M31</f>
        <v>0.93</v>
      </c>
      <c r="C292" s="233"/>
      <c r="D292" s="233"/>
      <c r="E292" s="233"/>
      <c r="F292" s="233"/>
      <c r="G292" s="233"/>
      <c r="H292" s="233"/>
      <c r="I292" s="233"/>
      <c r="J292" s="232">
        <f t="shared" si="44"/>
        <v>0</v>
      </c>
      <c r="K292" s="145"/>
      <c r="L292" s="145"/>
      <c r="M292" s="145"/>
      <c r="N292" s="145"/>
      <c r="O292" s="145"/>
      <c r="P292" s="145"/>
      <c r="Q292" s="145"/>
      <c r="R292" s="145"/>
    </row>
    <row r="293" spans="1:18" hidden="1" outlineLevel="1" x14ac:dyDescent="0.3">
      <c r="A293" s="235" t="str">
        <f>'Inputs '!$A$32</f>
        <v>-</v>
      </c>
      <c r="B293" s="234">
        <f>'Inputs '!M32</f>
        <v>0</v>
      </c>
      <c r="C293" s="233"/>
      <c r="D293" s="233"/>
      <c r="E293" s="233"/>
      <c r="F293" s="233"/>
      <c r="G293" s="233"/>
      <c r="H293" s="233"/>
      <c r="I293" s="233"/>
      <c r="J293" s="232">
        <f t="shared" si="44"/>
        <v>0</v>
      </c>
      <c r="K293" s="145"/>
      <c r="L293" s="145"/>
      <c r="M293" s="145"/>
      <c r="N293" s="145"/>
      <c r="O293" s="145"/>
      <c r="P293" s="145"/>
      <c r="Q293" s="145"/>
      <c r="R293" s="145"/>
    </row>
    <row r="294" spans="1:18" hidden="1" outlineLevel="1" x14ac:dyDescent="0.3">
      <c r="A294" s="235" t="str">
        <f>'Inputs '!$A$33</f>
        <v>-</v>
      </c>
      <c r="B294" s="234">
        <f>'Inputs '!M33</f>
        <v>0</v>
      </c>
      <c r="C294" s="233"/>
      <c r="D294" s="233"/>
      <c r="E294" s="233"/>
      <c r="F294" s="233"/>
      <c r="G294" s="233"/>
      <c r="H294" s="233"/>
      <c r="I294" s="233"/>
      <c r="J294" s="232">
        <f t="shared" si="44"/>
        <v>0</v>
      </c>
      <c r="K294" s="145"/>
      <c r="L294" s="145"/>
      <c r="M294" s="145"/>
      <c r="N294" s="145"/>
      <c r="O294" s="145"/>
      <c r="P294" s="145"/>
      <c r="Q294" s="145"/>
      <c r="R294" s="145"/>
    </row>
    <row r="295" spans="1:18" hidden="1" outlineLevel="1" x14ac:dyDescent="0.3">
      <c r="A295" s="235" t="str">
        <f>'Inputs '!$A$34</f>
        <v>-</v>
      </c>
      <c r="B295" s="234">
        <f>'Inputs '!M34</f>
        <v>0</v>
      </c>
      <c r="C295" s="233"/>
      <c r="D295" s="233"/>
      <c r="E295" s="233"/>
      <c r="F295" s="233"/>
      <c r="G295" s="233"/>
      <c r="H295" s="233"/>
      <c r="I295" s="233"/>
      <c r="J295" s="232">
        <f t="shared" si="44"/>
        <v>0</v>
      </c>
      <c r="K295" s="145"/>
      <c r="L295" s="145"/>
      <c r="M295" s="145"/>
      <c r="N295" s="145"/>
      <c r="O295" s="145"/>
      <c r="P295" s="145"/>
      <c r="Q295" s="145"/>
      <c r="R295" s="145"/>
    </row>
    <row r="296" spans="1:18" hidden="1" outlineLevel="1" x14ac:dyDescent="0.3">
      <c r="A296" s="235" t="str">
        <f>'Inputs '!$A$35</f>
        <v>-</v>
      </c>
      <c r="B296" s="234">
        <f>'Inputs '!M35</f>
        <v>0</v>
      </c>
      <c r="C296" s="233"/>
      <c r="D296" s="233"/>
      <c r="E296" s="233"/>
      <c r="F296" s="233"/>
      <c r="G296" s="233"/>
      <c r="H296" s="233"/>
      <c r="I296" s="233"/>
      <c r="J296" s="232">
        <f t="shared" si="44"/>
        <v>0</v>
      </c>
      <c r="K296" s="145"/>
      <c r="L296" s="145"/>
      <c r="M296" s="145"/>
      <c r="N296" s="145"/>
      <c r="O296" s="145"/>
      <c r="P296" s="145"/>
      <c r="Q296" s="145"/>
      <c r="R296" s="145"/>
    </row>
    <row r="297" spans="1:18" hidden="1" outlineLevel="1" x14ac:dyDescent="0.3">
      <c r="A297" s="235" t="str">
        <f>'Inputs '!$A$36</f>
        <v>-</v>
      </c>
      <c r="B297" s="234">
        <f>'Inputs '!M36</f>
        <v>0</v>
      </c>
      <c r="C297" s="233"/>
      <c r="D297" s="233"/>
      <c r="E297" s="233"/>
      <c r="F297" s="233"/>
      <c r="G297" s="233"/>
      <c r="H297" s="233"/>
      <c r="I297" s="233"/>
      <c r="J297" s="232">
        <f t="shared" si="44"/>
        <v>0</v>
      </c>
      <c r="K297" s="145"/>
      <c r="L297" s="145"/>
      <c r="M297" s="145"/>
      <c r="N297" s="145"/>
      <c r="O297" s="145"/>
      <c r="P297" s="145"/>
      <c r="Q297" s="145"/>
      <c r="R297" s="145"/>
    </row>
    <row r="298" spans="1:18" collapsed="1" x14ac:dyDescent="0.3">
      <c r="A298" s="231" t="s">
        <v>296</v>
      </c>
      <c r="B298" s="147"/>
      <c r="C298" s="146">
        <f t="shared" ref="C298:I298" si="45">SUM($B$62*C282+$B$63*C283+$B$64*C284+$B$65*C285+$B$66*C286+$B$67*C287+$B$68*C288+$B$69*C289+C290*$B$70+$B$71*C291)</f>
        <v>0.57999999999999996</v>
      </c>
      <c r="D298" s="146">
        <f t="shared" si="45"/>
        <v>0.57999999999999996</v>
      </c>
      <c r="E298" s="146">
        <f t="shared" si="45"/>
        <v>0.57999999999999996</v>
      </c>
      <c r="F298" s="146">
        <f t="shared" si="45"/>
        <v>0.57999999999999996</v>
      </c>
      <c r="G298" s="146">
        <f t="shared" si="45"/>
        <v>0.57999999999999996</v>
      </c>
      <c r="H298" s="146">
        <f t="shared" si="45"/>
        <v>0.57999999999999996</v>
      </c>
      <c r="I298" s="146">
        <f t="shared" si="45"/>
        <v>0.57999999999999996</v>
      </c>
      <c r="J298" s="230">
        <f>SUM(J282:J297)</f>
        <v>106.60929521044102</v>
      </c>
      <c r="K298" s="145"/>
      <c r="L298" s="145"/>
      <c r="M298" s="145"/>
      <c r="N298" s="145"/>
      <c r="O298" s="145"/>
      <c r="P298" s="145"/>
      <c r="Q298" s="145"/>
      <c r="R298" s="145"/>
    </row>
    <row r="299" spans="1:18" ht="15" thickBot="1" x14ac:dyDescent="0.35">
      <c r="K299" s="145"/>
      <c r="L299" s="145"/>
      <c r="M299" s="145"/>
      <c r="N299" s="145"/>
      <c r="O299" s="145"/>
      <c r="P299" s="145"/>
      <c r="Q299" s="145"/>
      <c r="R299" s="145"/>
    </row>
    <row r="300" spans="1:18" ht="15" thickBot="1" x14ac:dyDescent="0.35">
      <c r="A300" s="300" t="s">
        <v>329</v>
      </c>
      <c r="B300" s="301"/>
      <c r="C300" s="302">
        <f t="shared" ref="C300:I300" si="46">SUM(C78+C98+C118+C138+C158+C178+C198+C218+C238+C258+C278+C298)</f>
        <v>62.179999999999993</v>
      </c>
      <c r="D300" s="303">
        <f t="shared" si="46"/>
        <v>12.18</v>
      </c>
      <c r="E300" s="303">
        <f t="shared" si="46"/>
        <v>12.18</v>
      </c>
      <c r="F300" s="303">
        <f t="shared" si="46"/>
        <v>13.24</v>
      </c>
      <c r="G300" s="303">
        <f t="shared" si="46"/>
        <v>11.71</v>
      </c>
      <c r="H300" s="303">
        <f t="shared" si="46"/>
        <v>11.75</v>
      </c>
      <c r="I300" s="304">
        <f t="shared" si="46"/>
        <v>15.52</v>
      </c>
      <c r="K300" s="145"/>
      <c r="L300" s="145"/>
      <c r="M300" s="145"/>
      <c r="N300" s="145"/>
      <c r="O300" s="145"/>
      <c r="P300" s="145"/>
      <c r="Q300" s="145"/>
      <c r="R300" s="145"/>
    </row>
    <row r="301" spans="1:18" ht="16.2" thickBot="1" x14ac:dyDescent="0.35">
      <c r="J301" s="305">
        <f>J298+J278+J258+J238+J218+J198+J178+J158+J138+J118+J98+J78</f>
        <v>2802.3011754715103</v>
      </c>
      <c r="K301" s="145"/>
      <c r="L301" s="145"/>
      <c r="M301" s="145"/>
      <c r="N301" s="145"/>
      <c r="O301" s="145"/>
      <c r="P301" s="145"/>
      <c r="Q301" s="145"/>
      <c r="R301" s="145"/>
    </row>
    <row r="302" spans="1:18" x14ac:dyDescent="0.3">
      <c r="K302" s="145"/>
      <c r="L302" s="145"/>
      <c r="M302" s="145"/>
      <c r="N302" s="145"/>
      <c r="O302" s="145"/>
      <c r="P302" s="145"/>
      <c r="Q302" s="145"/>
      <c r="R302" s="145"/>
    </row>
    <row r="303" spans="1:18" x14ac:dyDescent="0.3">
      <c r="K303" s="145"/>
      <c r="L303" s="145"/>
      <c r="M303" s="145"/>
      <c r="N303" s="145"/>
      <c r="O303" s="145"/>
      <c r="P303" s="145"/>
      <c r="Q303" s="145"/>
      <c r="R303" s="145"/>
    </row>
    <row r="304" spans="1:18" x14ac:dyDescent="0.3">
      <c r="K304" s="145"/>
      <c r="L304" s="145"/>
      <c r="M304" s="145"/>
      <c r="N304" s="145"/>
      <c r="O304" s="145"/>
      <c r="P304" s="145"/>
      <c r="Q304" s="145"/>
      <c r="R304" s="145"/>
    </row>
    <row r="305" spans="11:18" x14ac:dyDescent="0.3">
      <c r="K305" s="145"/>
      <c r="L305" s="145"/>
      <c r="M305" s="145"/>
      <c r="N305" s="145"/>
      <c r="O305" s="145"/>
      <c r="P305" s="145"/>
      <c r="Q305" s="145"/>
      <c r="R305" s="145"/>
    </row>
    <row r="306" spans="11:18" x14ac:dyDescent="0.3">
      <c r="K306" s="145"/>
      <c r="L306" s="145"/>
      <c r="M306" s="145"/>
      <c r="N306" s="145"/>
      <c r="O306" s="145"/>
      <c r="P306" s="145"/>
      <c r="Q306" s="145"/>
      <c r="R306" s="145"/>
    </row>
    <row r="307" spans="11:18" x14ac:dyDescent="0.3">
      <c r="K307" s="145"/>
      <c r="L307" s="145"/>
      <c r="M307" s="145"/>
      <c r="N307" s="145"/>
      <c r="O307" s="145"/>
      <c r="P307" s="145"/>
      <c r="Q307" s="145"/>
      <c r="R307" s="145"/>
    </row>
    <row r="308" spans="11:18" x14ac:dyDescent="0.3">
      <c r="K308" s="145"/>
      <c r="L308" s="145"/>
      <c r="M308" s="145"/>
      <c r="N308" s="145"/>
      <c r="O308" s="145"/>
      <c r="P308" s="145"/>
      <c r="Q308" s="145"/>
      <c r="R308" s="145"/>
    </row>
    <row r="309" spans="11:18" x14ac:dyDescent="0.3">
      <c r="K309" s="145"/>
      <c r="L309" s="145"/>
      <c r="M309" s="145"/>
      <c r="N309" s="145"/>
      <c r="O309" s="145"/>
      <c r="P309" s="145"/>
      <c r="Q309" s="145"/>
      <c r="R309" s="145"/>
    </row>
    <row r="310" spans="11:18" x14ac:dyDescent="0.3">
      <c r="K310" s="145"/>
      <c r="L310" s="145"/>
      <c r="M310" s="145"/>
      <c r="N310" s="145"/>
      <c r="O310" s="145"/>
      <c r="P310" s="145"/>
      <c r="Q310" s="145"/>
      <c r="R310" s="145"/>
    </row>
    <row r="311" spans="11:18" x14ac:dyDescent="0.3">
      <c r="K311" s="145"/>
      <c r="L311" s="145"/>
      <c r="M311" s="145"/>
      <c r="N311" s="145"/>
      <c r="O311" s="145"/>
      <c r="P311" s="145"/>
      <c r="Q311" s="145"/>
      <c r="R311" s="145"/>
    </row>
    <row r="312" spans="11:18" x14ac:dyDescent="0.3">
      <c r="K312" s="145"/>
      <c r="L312" s="145"/>
      <c r="M312" s="145"/>
      <c r="N312" s="145"/>
      <c r="O312" s="145"/>
      <c r="P312" s="145"/>
      <c r="Q312" s="145"/>
      <c r="R312" s="145"/>
    </row>
    <row r="313" spans="11:18" x14ac:dyDescent="0.3">
      <c r="K313" s="145"/>
      <c r="L313" s="145"/>
      <c r="M313" s="145"/>
      <c r="N313" s="145"/>
      <c r="O313" s="145"/>
      <c r="P313" s="145"/>
      <c r="Q313" s="145"/>
      <c r="R313" s="145"/>
    </row>
    <row r="314" spans="11:18" x14ac:dyDescent="0.3">
      <c r="K314" s="145"/>
      <c r="L314" s="145"/>
      <c r="M314" s="145"/>
      <c r="N314" s="145"/>
      <c r="O314" s="145"/>
      <c r="P314" s="145"/>
      <c r="Q314" s="145"/>
      <c r="R314" s="145"/>
    </row>
    <row r="315" spans="11:18" ht="15" customHeight="1" x14ac:dyDescent="0.3">
      <c r="K315" s="145"/>
      <c r="L315" s="145"/>
      <c r="M315" s="145"/>
      <c r="N315" s="145"/>
      <c r="O315" s="145"/>
      <c r="P315" s="145"/>
      <c r="Q315" s="145"/>
      <c r="R315" s="145"/>
    </row>
    <row r="316" spans="11:18" x14ac:dyDescent="0.3">
      <c r="K316" s="145"/>
      <c r="L316" s="145"/>
      <c r="M316" s="145"/>
      <c r="N316" s="145"/>
      <c r="O316" s="145"/>
      <c r="P316" s="145"/>
      <c r="Q316" s="145"/>
      <c r="R316" s="145"/>
    </row>
    <row r="317" spans="11:18" x14ac:dyDescent="0.3">
      <c r="K317" s="158"/>
      <c r="L317" s="158"/>
      <c r="M317" s="158"/>
      <c r="N317" s="158"/>
      <c r="O317" s="158"/>
      <c r="P317" s="158"/>
      <c r="Q317" s="158"/>
      <c r="R317" s="158"/>
    </row>
    <row r="318" spans="11:18" x14ac:dyDescent="0.3">
      <c r="K318" s="145"/>
      <c r="L318" s="145"/>
      <c r="M318" s="145"/>
      <c r="N318" s="145"/>
      <c r="O318" s="145"/>
      <c r="P318" s="145"/>
      <c r="Q318" s="145"/>
      <c r="R318" s="145"/>
    </row>
    <row r="319" spans="11:18" x14ac:dyDescent="0.3">
      <c r="K319" s="145"/>
      <c r="L319" s="145"/>
      <c r="M319" s="145"/>
      <c r="N319" s="145"/>
      <c r="O319" s="145"/>
      <c r="P319" s="145"/>
      <c r="Q319" s="145"/>
      <c r="R319" s="145"/>
    </row>
    <row r="320" spans="11:18" x14ac:dyDescent="0.3">
      <c r="K320" s="145"/>
      <c r="L320" s="145"/>
      <c r="M320" s="145"/>
      <c r="N320" s="145"/>
      <c r="O320" s="145"/>
      <c r="P320" s="145"/>
      <c r="Q320" s="145"/>
      <c r="R320" s="145"/>
    </row>
    <row r="321" spans="11:18" x14ac:dyDescent="0.3">
      <c r="K321" s="145"/>
      <c r="L321" s="145"/>
      <c r="M321" s="145"/>
      <c r="N321" s="145"/>
      <c r="O321" s="145"/>
      <c r="P321" s="145"/>
      <c r="Q321" s="145"/>
      <c r="R321" s="145"/>
    </row>
    <row r="322" spans="11:18" x14ac:dyDescent="0.3">
      <c r="K322" s="145"/>
      <c r="L322" s="145"/>
      <c r="M322" s="145"/>
      <c r="N322" s="145"/>
      <c r="O322" s="145"/>
      <c r="P322" s="145"/>
      <c r="Q322" s="145"/>
      <c r="R322" s="145"/>
    </row>
    <row r="323" spans="11:18" x14ac:dyDescent="0.3">
      <c r="K323" s="145"/>
      <c r="L323" s="145"/>
      <c r="M323" s="145"/>
      <c r="N323" s="145"/>
      <c r="O323" s="145"/>
      <c r="P323" s="145"/>
      <c r="Q323" s="145"/>
      <c r="R323" s="145"/>
    </row>
    <row r="324" spans="11:18" x14ac:dyDescent="0.3">
      <c r="K324" s="145"/>
      <c r="L324" s="145"/>
      <c r="M324" s="145"/>
      <c r="N324" s="145"/>
      <c r="O324" s="145"/>
      <c r="P324" s="145"/>
      <c r="Q324" s="145"/>
      <c r="R324" s="145"/>
    </row>
    <row r="325" spans="11:18" x14ac:dyDescent="0.3">
      <c r="K325" s="145"/>
      <c r="L325" s="145"/>
      <c r="M325" s="145"/>
      <c r="N325" s="145"/>
      <c r="O325" s="145"/>
      <c r="P325" s="145"/>
      <c r="Q325" s="145"/>
      <c r="R325" s="145"/>
    </row>
    <row r="326" spans="11:18" x14ac:dyDescent="0.3">
      <c r="K326" s="145"/>
      <c r="L326" s="145"/>
      <c r="M326" s="145"/>
      <c r="N326" s="145"/>
      <c r="O326" s="145"/>
      <c r="P326" s="145"/>
      <c r="Q326" s="145"/>
      <c r="R326" s="145"/>
    </row>
    <row r="327" spans="11:18" x14ac:dyDescent="0.3">
      <c r="K327" s="145"/>
      <c r="L327" s="145"/>
      <c r="M327" s="145"/>
      <c r="N327" s="145"/>
      <c r="O327" s="145"/>
      <c r="P327" s="145"/>
      <c r="Q327" s="145"/>
      <c r="R327" s="145"/>
    </row>
    <row r="328" spans="11:18" x14ac:dyDescent="0.3">
      <c r="K328" s="145"/>
      <c r="L328" s="145"/>
      <c r="M328" s="145"/>
      <c r="N328" s="145"/>
      <c r="O328" s="145"/>
      <c r="P328" s="145"/>
      <c r="Q328" s="145"/>
      <c r="R328" s="145"/>
    </row>
    <row r="329" spans="11:18" x14ac:dyDescent="0.3">
      <c r="K329" s="145"/>
      <c r="L329" s="145"/>
      <c r="M329" s="145"/>
      <c r="N329" s="145"/>
      <c r="O329" s="145"/>
      <c r="P329" s="145"/>
      <c r="Q329" s="145"/>
      <c r="R329" s="145"/>
    </row>
    <row r="330" spans="11:18" x14ac:dyDescent="0.3">
      <c r="K330" s="145"/>
      <c r="L330" s="145"/>
      <c r="M330" s="145"/>
      <c r="N330" s="145"/>
      <c r="O330" s="145"/>
      <c r="P330" s="145"/>
      <c r="Q330" s="145"/>
      <c r="R330" s="145"/>
    </row>
    <row r="331" spans="11:18" x14ac:dyDescent="0.3">
      <c r="K331" s="145"/>
      <c r="L331" s="145"/>
      <c r="M331" s="145"/>
      <c r="N331" s="145"/>
      <c r="O331" s="145"/>
      <c r="P331" s="145"/>
      <c r="Q331" s="145"/>
      <c r="R331" s="145"/>
    </row>
    <row r="332" spans="11:18" x14ac:dyDescent="0.3">
      <c r="K332" s="145"/>
      <c r="L332" s="145"/>
      <c r="M332" s="145"/>
      <c r="N332" s="145"/>
      <c r="O332" s="145"/>
      <c r="P332" s="145"/>
      <c r="Q332" s="145"/>
      <c r="R332" s="145"/>
    </row>
    <row r="333" spans="11:18" x14ac:dyDescent="0.3">
      <c r="K333" s="145"/>
      <c r="L333" s="145"/>
      <c r="M333" s="145"/>
      <c r="N333" s="145"/>
      <c r="O333" s="145"/>
      <c r="P333" s="145"/>
      <c r="Q333" s="145"/>
      <c r="R333" s="145"/>
    </row>
    <row r="334" spans="11:18" ht="15" customHeight="1" x14ac:dyDescent="0.3">
      <c r="K334" s="145"/>
      <c r="L334" s="145"/>
      <c r="M334" s="145"/>
      <c r="N334" s="145"/>
      <c r="O334" s="145"/>
      <c r="P334" s="145"/>
      <c r="Q334" s="145"/>
      <c r="R334" s="145"/>
    </row>
    <row r="335" spans="11:18" x14ac:dyDescent="0.3">
      <c r="K335" s="145"/>
      <c r="L335" s="145"/>
      <c r="M335" s="145"/>
      <c r="N335" s="145"/>
      <c r="O335" s="145"/>
      <c r="P335" s="145"/>
      <c r="Q335" s="145"/>
      <c r="R335" s="145"/>
    </row>
    <row r="336" spans="11:18" x14ac:dyDescent="0.3">
      <c r="K336" s="158"/>
      <c r="L336" s="158"/>
      <c r="M336" s="158"/>
      <c r="N336" s="158"/>
      <c r="O336" s="158"/>
      <c r="P336" s="158"/>
      <c r="Q336" s="158"/>
      <c r="R336" s="158"/>
    </row>
    <row r="337" spans="11:18" x14ac:dyDescent="0.3">
      <c r="K337" s="145"/>
      <c r="L337" s="145"/>
      <c r="M337" s="145"/>
      <c r="N337" s="145"/>
      <c r="O337" s="145"/>
      <c r="P337" s="145"/>
      <c r="Q337" s="145"/>
      <c r="R337" s="145"/>
    </row>
    <row r="338" spans="11:18" x14ac:dyDescent="0.3">
      <c r="K338" s="145"/>
      <c r="L338" s="145"/>
      <c r="M338" s="145"/>
      <c r="N338" s="145"/>
      <c r="O338" s="145"/>
      <c r="P338" s="145"/>
      <c r="Q338" s="145"/>
      <c r="R338" s="145"/>
    </row>
    <row r="339" spans="11:18" x14ac:dyDescent="0.3">
      <c r="K339" s="145"/>
      <c r="L339" s="145"/>
      <c r="M339" s="145"/>
      <c r="N339" s="145"/>
      <c r="O339" s="145"/>
      <c r="P339" s="145"/>
      <c r="Q339" s="145"/>
      <c r="R339" s="145"/>
    </row>
    <row r="340" spans="11:18" x14ac:dyDescent="0.3">
      <c r="K340" s="145"/>
      <c r="L340" s="145"/>
      <c r="M340" s="145"/>
      <c r="N340" s="145"/>
      <c r="O340" s="145"/>
      <c r="P340" s="145"/>
      <c r="Q340" s="145"/>
      <c r="R340" s="145"/>
    </row>
    <row r="341" spans="11:18" x14ac:dyDescent="0.3">
      <c r="K341" s="145"/>
      <c r="L341" s="145"/>
      <c r="M341" s="145"/>
      <c r="N341" s="145"/>
      <c r="O341" s="145"/>
      <c r="P341" s="145"/>
      <c r="Q341" s="145"/>
      <c r="R341" s="145"/>
    </row>
    <row r="342" spans="11:18" x14ac:dyDescent="0.3">
      <c r="K342" s="145"/>
      <c r="L342" s="145"/>
      <c r="M342" s="145"/>
      <c r="N342" s="145"/>
      <c r="O342" s="145"/>
      <c r="P342" s="145"/>
      <c r="Q342" s="145"/>
      <c r="R342" s="145"/>
    </row>
    <row r="343" spans="11:18" x14ac:dyDescent="0.3">
      <c r="K343" s="145"/>
      <c r="L343" s="145"/>
      <c r="M343" s="145"/>
      <c r="N343" s="145"/>
      <c r="O343" s="145"/>
      <c r="P343" s="145"/>
      <c r="Q343" s="145"/>
      <c r="R343" s="145"/>
    </row>
    <row r="344" spans="11:18" x14ac:dyDescent="0.3">
      <c r="K344" s="145"/>
      <c r="L344" s="145"/>
      <c r="M344" s="145"/>
      <c r="N344" s="145"/>
      <c r="O344" s="145"/>
      <c r="P344" s="145"/>
      <c r="Q344" s="145"/>
      <c r="R344" s="145"/>
    </row>
    <row r="345" spans="11:18" x14ac:dyDescent="0.3">
      <c r="K345" s="145"/>
      <c r="L345" s="145"/>
      <c r="M345" s="145"/>
      <c r="N345" s="145"/>
      <c r="O345" s="145"/>
      <c r="P345" s="145"/>
      <c r="Q345" s="145"/>
      <c r="R345" s="145"/>
    </row>
    <row r="346" spans="11:18" x14ac:dyDescent="0.3">
      <c r="K346" s="145"/>
      <c r="L346" s="145"/>
      <c r="M346" s="145"/>
      <c r="N346" s="145"/>
      <c r="O346" s="145"/>
      <c r="P346" s="145"/>
      <c r="Q346" s="145"/>
      <c r="R346" s="145"/>
    </row>
    <row r="347" spans="11:18" x14ac:dyDescent="0.3">
      <c r="K347" s="145"/>
      <c r="L347" s="145"/>
      <c r="M347" s="145"/>
      <c r="N347" s="145"/>
      <c r="O347" s="145"/>
      <c r="P347" s="145"/>
      <c r="Q347" s="145"/>
      <c r="R347" s="145"/>
    </row>
    <row r="348" spans="11:18" x14ac:dyDescent="0.3">
      <c r="K348" s="145"/>
      <c r="L348" s="145"/>
      <c r="M348" s="145"/>
      <c r="N348" s="145"/>
      <c r="O348" s="145"/>
      <c r="P348" s="145"/>
      <c r="Q348" s="145"/>
      <c r="R348" s="145"/>
    </row>
    <row r="349" spans="11:18" x14ac:dyDescent="0.3">
      <c r="K349" s="145"/>
      <c r="L349" s="145"/>
      <c r="M349" s="145"/>
      <c r="N349" s="145"/>
      <c r="O349" s="145"/>
      <c r="P349" s="145"/>
      <c r="Q349" s="145"/>
      <c r="R349" s="145"/>
    </row>
    <row r="350" spans="11:18" x14ac:dyDescent="0.3">
      <c r="K350" s="145"/>
      <c r="L350" s="145"/>
      <c r="M350" s="145"/>
      <c r="N350" s="145"/>
      <c r="O350" s="145"/>
      <c r="P350" s="145"/>
      <c r="Q350" s="145"/>
      <c r="R350" s="145"/>
    </row>
    <row r="351" spans="11:18" x14ac:dyDescent="0.3">
      <c r="K351" s="145"/>
      <c r="L351" s="145"/>
      <c r="M351" s="145"/>
      <c r="N351" s="145"/>
      <c r="O351" s="145"/>
      <c r="P351" s="145"/>
      <c r="Q351" s="145"/>
      <c r="R351" s="145"/>
    </row>
    <row r="352" spans="11:18" x14ac:dyDescent="0.3">
      <c r="K352" s="145"/>
      <c r="L352" s="145"/>
      <c r="M352" s="145"/>
      <c r="N352" s="145"/>
      <c r="O352" s="145"/>
      <c r="P352" s="145"/>
      <c r="Q352" s="145"/>
      <c r="R352" s="145"/>
    </row>
    <row r="353" spans="11:18" ht="15" customHeight="1" x14ac:dyDescent="0.3">
      <c r="K353" s="145"/>
      <c r="L353" s="145"/>
      <c r="M353" s="145"/>
      <c r="N353" s="145"/>
      <c r="O353" s="145"/>
      <c r="P353" s="145"/>
      <c r="Q353" s="145"/>
      <c r="R353" s="145"/>
    </row>
    <row r="354" spans="11:18" x14ac:dyDescent="0.3">
      <c r="K354" s="145"/>
      <c r="L354" s="145"/>
      <c r="M354" s="145"/>
      <c r="N354" s="145"/>
      <c r="O354" s="145"/>
      <c r="P354" s="145"/>
      <c r="Q354" s="145"/>
      <c r="R354" s="145"/>
    </row>
    <row r="355" spans="11:18" x14ac:dyDescent="0.3">
      <c r="K355" s="145"/>
      <c r="L355" s="145"/>
      <c r="M355" s="145"/>
      <c r="N355" s="145"/>
      <c r="O355" s="145"/>
      <c r="P355" s="145"/>
      <c r="Q355" s="145"/>
      <c r="R355" s="145"/>
    </row>
  </sheetData>
  <mergeCells count="21">
    <mergeCell ref="C101:I101"/>
    <mergeCell ref="C221:I221"/>
    <mergeCell ref="C241:I241"/>
    <mergeCell ref="C261:I261"/>
    <mergeCell ref="C281:I281"/>
    <mergeCell ref="C121:I121"/>
    <mergeCell ref="C141:I141"/>
    <mergeCell ref="C161:I161"/>
    <mergeCell ref="C181:I181"/>
    <mergeCell ref="C201:I201"/>
    <mergeCell ref="A2:J2"/>
    <mergeCell ref="A3:J3"/>
    <mergeCell ref="C81:I81"/>
    <mergeCell ref="E4:F4"/>
    <mergeCell ref="G4:H4"/>
    <mergeCell ref="E21:F21"/>
    <mergeCell ref="G21:H21"/>
    <mergeCell ref="E60:F60"/>
    <mergeCell ref="G60:H60"/>
    <mergeCell ref="C59:I59"/>
    <mergeCell ref="A20:J20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T116"/>
  <sheetViews>
    <sheetView topLeftCell="C1" workbookViewId="0">
      <selection activeCell="N22" sqref="N22"/>
    </sheetView>
  </sheetViews>
  <sheetFormatPr defaultColWidth="9.21875" defaultRowHeight="14.4" outlineLevelRow="1" x14ac:dyDescent="0.35"/>
  <cols>
    <col min="1" max="4" width="9.21875" style="271"/>
    <col min="5" max="5" width="11.21875" style="271" customWidth="1"/>
    <col min="6" max="6" width="19.44140625" style="271" customWidth="1"/>
    <col min="7" max="15" width="10.77734375" style="271" bestFit="1" customWidth="1"/>
    <col min="16" max="16" width="11.77734375" style="271" bestFit="1" customWidth="1"/>
    <col min="17" max="17" width="10.77734375" style="271" bestFit="1" customWidth="1"/>
    <col min="18" max="18" width="11.44140625" style="271" customWidth="1"/>
    <col min="19" max="19" width="5.21875" style="271" customWidth="1"/>
    <col min="20" max="20" width="14.44140625" style="271" customWidth="1"/>
    <col min="21" max="16384" width="9.21875" style="271"/>
  </cols>
  <sheetData>
    <row r="1" spans="1:20" s="272" customFormat="1" ht="15" x14ac:dyDescent="0.35">
      <c r="A1" s="294"/>
    </row>
    <row r="2" spans="1:20" s="283" customFormat="1" x14ac:dyDescent="0.35">
      <c r="A2" s="283" t="s">
        <v>733</v>
      </c>
      <c r="F2" s="287"/>
      <c r="G2" s="293">
        <v>46023</v>
      </c>
      <c r="H2" s="293">
        <f>EOMONTH(G2,0)+1</f>
        <v>46054</v>
      </c>
      <c r="I2" s="293">
        <f t="shared" ref="I2:R2" si="0">EOMONTH(H2,0)+1</f>
        <v>46082</v>
      </c>
      <c r="J2" s="293">
        <f t="shared" si="0"/>
        <v>46113</v>
      </c>
      <c r="K2" s="293">
        <f t="shared" si="0"/>
        <v>46143</v>
      </c>
      <c r="L2" s="293">
        <f t="shared" si="0"/>
        <v>46174</v>
      </c>
      <c r="M2" s="293">
        <f t="shared" si="0"/>
        <v>46204</v>
      </c>
      <c r="N2" s="293">
        <f t="shared" si="0"/>
        <v>46235</v>
      </c>
      <c r="O2" s="293">
        <f t="shared" si="0"/>
        <v>46266</v>
      </c>
      <c r="P2" s="293">
        <f t="shared" si="0"/>
        <v>46296</v>
      </c>
      <c r="Q2" s="293">
        <f t="shared" si="0"/>
        <v>46327</v>
      </c>
      <c r="R2" s="293">
        <f t="shared" si="0"/>
        <v>46357</v>
      </c>
      <c r="T2" s="283" t="s">
        <v>19</v>
      </c>
    </row>
    <row r="3" spans="1:20" s="272" customFormat="1" x14ac:dyDescent="0.35">
      <c r="F3" s="287" t="s">
        <v>352</v>
      </c>
      <c r="G3" s="289">
        <f>SUM('Stock Numbers'!J10)</f>
        <v>0</v>
      </c>
      <c r="H3" s="289">
        <f>SUM('Stock Numbers'!J25)</f>
        <v>0</v>
      </c>
      <c r="I3" s="289">
        <f>SUM('Stock Numbers'!J42)</f>
        <v>0</v>
      </c>
      <c r="J3" s="289">
        <f>SUM('Stock Numbers'!J59)</f>
        <v>0</v>
      </c>
      <c r="K3" s="289">
        <f>SUM('Stock Numbers'!J76)</f>
        <v>0</v>
      </c>
      <c r="L3" s="289">
        <f>SUM('Stock Numbers'!J93)</f>
        <v>0</v>
      </c>
      <c r="M3" s="289">
        <f>SUM('Stock Numbers'!J110)</f>
        <v>0</v>
      </c>
      <c r="N3" s="289">
        <f>SUM('Stock Numbers'!J127)</f>
        <v>0</v>
      </c>
      <c r="O3" s="289">
        <f>SUM('Stock Numbers'!J144)</f>
        <v>0</v>
      </c>
      <c r="P3" s="289">
        <f>SUM('Stock Numbers'!J161)</f>
        <v>0</v>
      </c>
      <c r="Q3" s="289">
        <f>SUM('Stock Numbers'!J178)</f>
        <v>0</v>
      </c>
      <c r="R3" s="289">
        <f>SUM('Stock Numbers'!J195)</f>
        <v>0</v>
      </c>
      <c r="S3" s="292"/>
      <c r="T3" s="291">
        <f>SUM(G3:R3)</f>
        <v>0</v>
      </c>
    </row>
    <row r="4" spans="1:20" s="272" customFormat="1" ht="15" thickBot="1" x14ac:dyDescent="0.4">
      <c r="D4" s="284"/>
      <c r="E4" s="281"/>
      <c r="F4" s="287" t="s">
        <v>351</v>
      </c>
      <c r="G4" s="289">
        <f>SUM('Stock Numbers'!J11)</f>
        <v>0</v>
      </c>
      <c r="H4" s="289">
        <f>SUM('Stock Numbers'!J26)</f>
        <v>0</v>
      </c>
      <c r="I4" s="289">
        <f>SUM('Stock Numbers'!J43)</f>
        <v>0</v>
      </c>
      <c r="J4" s="289">
        <f>SUM('Stock Numbers'!J60)</f>
        <v>0</v>
      </c>
      <c r="K4" s="289">
        <f>SUM('Stock Numbers'!J77)</f>
        <v>12</v>
      </c>
      <c r="L4" s="289">
        <f>L15</f>
        <v>0</v>
      </c>
      <c r="M4" s="289">
        <f>SUM('Stock Numbers'!J111)</f>
        <v>0</v>
      </c>
      <c r="N4" s="289">
        <f>SUM('Stock Numbers'!J128)</f>
        <v>22</v>
      </c>
      <c r="O4" s="289">
        <f>SUM('Stock Numbers'!J145)</f>
        <v>16</v>
      </c>
      <c r="P4" s="289">
        <f>P21</f>
        <v>0</v>
      </c>
      <c r="Q4" s="289">
        <f>SUM('Stock Numbers'!J179)</f>
        <v>0</v>
      </c>
      <c r="R4" s="289">
        <f>SUM('Stock Numbers'!J196)</f>
        <v>14</v>
      </c>
      <c r="S4" s="273"/>
      <c r="T4" s="290">
        <f>SUM(G4:R4)</f>
        <v>64</v>
      </c>
    </row>
    <row r="5" spans="1:20" s="272" customFormat="1" ht="15" thickBot="1" x14ac:dyDescent="0.4">
      <c r="D5" s="284"/>
      <c r="E5" s="281"/>
      <c r="F5" s="287" t="s">
        <v>350</v>
      </c>
      <c r="G5" s="286">
        <f t="shared" ref="G5:R5" si="1">SUM(G3+G4)</f>
        <v>0</v>
      </c>
      <c r="H5" s="286">
        <f t="shared" si="1"/>
        <v>0</v>
      </c>
      <c r="I5" s="286">
        <f t="shared" si="1"/>
        <v>0</v>
      </c>
      <c r="J5" s="286">
        <f t="shared" si="1"/>
        <v>0</v>
      </c>
      <c r="K5" s="286">
        <f t="shared" si="1"/>
        <v>12</v>
      </c>
      <c r="L5" s="286">
        <f t="shared" si="1"/>
        <v>0</v>
      </c>
      <c r="M5" s="286">
        <f t="shared" si="1"/>
        <v>0</v>
      </c>
      <c r="N5" s="286">
        <f t="shared" si="1"/>
        <v>22</v>
      </c>
      <c r="O5" s="286">
        <f t="shared" si="1"/>
        <v>16</v>
      </c>
      <c r="P5" s="286">
        <f t="shared" si="1"/>
        <v>0</v>
      </c>
      <c r="Q5" s="286">
        <f t="shared" si="1"/>
        <v>0</v>
      </c>
      <c r="R5" s="286">
        <f t="shared" si="1"/>
        <v>14</v>
      </c>
      <c r="S5" s="273"/>
      <c r="T5" s="285">
        <f>SUM(T3:T4)</f>
        <v>64</v>
      </c>
    </row>
    <row r="6" spans="1:20" s="272" customFormat="1" x14ac:dyDescent="0.35">
      <c r="D6" s="284"/>
      <c r="E6" s="281"/>
      <c r="F6" s="287" t="s">
        <v>349</v>
      </c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73"/>
      <c r="T6" s="288"/>
    </row>
    <row r="7" spans="1:20" s="272" customFormat="1" ht="15" thickBot="1" x14ac:dyDescent="0.4">
      <c r="D7" s="284"/>
      <c r="E7" s="281"/>
      <c r="F7" s="287" t="s">
        <v>348</v>
      </c>
      <c r="G7" s="289"/>
      <c r="H7" s="289"/>
      <c r="I7" s="289"/>
      <c r="J7" s="289"/>
      <c r="K7" s="289"/>
      <c r="L7" s="289"/>
      <c r="M7" s="289"/>
      <c r="N7" s="289"/>
      <c r="O7" s="289"/>
      <c r="P7" s="289"/>
      <c r="Q7" s="289"/>
      <c r="R7" s="289"/>
      <c r="S7" s="273"/>
      <c r="T7" s="288"/>
    </row>
    <row r="8" spans="1:20" s="272" customFormat="1" ht="15" thickBot="1" x14ac:dyDescent="0.4">
      <c r="D8" s="284"/>
      <c r="E8" s="281"/>
      <c r="F8" s="287" t="s">
        <v>347</v>
      </c>
      <c r="G8" s="286">
        <f t="shared" ref="G8:R8" si="2">SUM(G13+G18+G24+G29)</f>
        <v>0</v>
      </c>
      <c r="H8" s="286">
        <f t="shared" si="2"/>
        <v>0</v>
      </c>
      <c r="I8" s="286">
        <f t="shared" si="2"/>
        <v>0</v>
      </c>
      <c r="J8" s="286">
        <f t="shared" si="2"/>
        <v>0</v>
      </c>
      <c r="K8" s="286">
        <f t="shared" si="2"/>
        <v>12408.000000000002</v>
      </c>
      <c r="L8" s="286">
        <f t="shared" si="2"/>
        <v>0</v>
      </c>
      <c r="M8" s="286">
        <f t="shared" si="2"/>
        <v>0</v>
      </c>
      <c r="N8" s="286">
        <f t="shared" si="2"/>
        <v>8800</v>
      </c>
      <c r="O8" s="286">
        <f t="shared" si="2"/>
        <v>11340</v>
      </c>
      <c r="P8" s="286">
        <f t="shared" si="2"/>
        <v>0</v>
      </c>
      <c r="Q8" s="286">
        <f t="shared" si="2"/>
        <v>0</v>
      </c>
      <c r="R8" s="286">
        <f t="shared" si="2"/>
        <v>11725</v>
      </c>
      <c r="S8" s="273"/>
      <c r="T8" s="285">
        <f>SUM(G8:S8)</f>
        <v>44273</v>
      </c>
    </row>
    <row r="9" spans="1:20" s="272" customFormat="1" x14ac:dyDescent="0.35">
      <c r="D9" s="284"/>
      <c r="E9" s="281"/>
      <c r="F9" s="28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</row>
    <row r="10" spans="1:20" s="272" customFormat="1" outlineLevel="1" x14ac:dyDescent="0.35">
      <c r="D10" s="624" t="s">
        <v>346</v>
      </c>
      <c r="E10" s="627" t="s">
        <v>345</v>
      </c>
      <c r="F10" s="279" t="s">
        <v>338</v>
      </c>
      <c r="G10" s="278"/>
      <c r="H10" s="278"/>
      <c r="I10" s="278"/>
      <c r="J10" s="278"/>
      <c r="K10" s="278"/>
      <c r="L10" s="278"/>
      <c r="M10" s="278"/>
      <c r="N10" s="278"/>
      <c r="O10" s="278">
        <v>1</v>
      </c>
      <c r="P10" s="278"/>
      <c r="Q10" s="278"/>
      <c r="R10" s="278"/>
      <c r="S10" s="273"/>
      <c r="T10" s="273">
        <f>SUM(G10:S10)</f>
        <v>1</v>
      </c>
    </row>
    <row r="11" spans="1:20" s="272" customFormat="1" outlineLevel="1" x14ac:dyDescent="0.35">
      <c r="D11" s="625"/>
      <c r="E11" s="628"/>
      <c r="F11" s="272" t="s">
        <v>341</v>
      </c>
      <c r="G11" s="273">
        <v>800</v>
      </c>
      <c r="H11" s="273">
        <v>8000</v>
      </c>
      <c r="I11" s="273">
        <v>600</v>
      </c>
      <c r="J11" s="273">
        <v>600</v>
      </c>
      <c r="K11" s="273">
        <v>600</v>
      </c>
      <c r="L11" s="273">
        <v>600</v>
      </c>
      <c r="M11" s="273">
        <v>600</v>
      </c>
      <c r="N11" s="273">
        <v>600</v>
      </c>
      <c r="O11" s="273">
        <v>800</v>
      </c>
      <c r="P11" s="273">
        <v>600</v>
      </c>
      <c r="Q11" s="273">
        <v>600</v>
      </c>
      <c r="R11" s="273">
        <v>600</v>
      </c>
      <c r="S11" s="273"/>
      <c r="T11" s="273">
        <f>AVERAGE(H11:R11)</f>
        <v>1290.909090909091</v>
      </c>
    </row>
    <row r="12" spans="1:20" s="272" customFormat="1" outlineLevel="1" x14ac:dyDescent="0.35">
      <c r="D12" s="625"/>
      <c r="E12" s="628"/>
      <c r="F12" s="272" t="s">
        <v>340</v>
      </c>
      <c r="G12" s="277">
        <v>1.2</v>
      </c>
      <c r="H12" s="277">
        <v>1.2</v>
      </c>
      <c r="I12" s="277">
        <v>1.2</v>
      </c>
      <c r="J12" s="277">
        <v>1.2</v>
      </c>
      <c r="K12" s="277">
        <v>1.2</v>
      </c>
      <c r="L12" s="277">
        <v>1.2</v>
      </c>
      <c r="M12" s="277">
        <v>1.2</v>
      </c>
      <c r="N12" s="277">
        <v>1.2</v>
      </c>
      <c r="O12" s="277">
        <v>1.8</v>
      </c>
      <c r="P12" s="277">
        <v>1.2</v>
      </c>
      <c r="Q12" s="277">
        <v>1.2</v>
      </c>
      <c r="R12" s="277">
        <v>1.2</v>
      </c>
      <c r="S12" s="273"/>
      <c r="T12" s="277">
        <f>AVERAGE(H12:R12)</f>
        <v>1.2545454545454544</v>
      </c>
    </row>
    <row r="13" spans="1:20" s="272" customFormat="1" outlineLevel="1" x14ac:dyDescent="0.35">
      <c r="D13" s="625"/>
      <c r="E13" s="629"/>
      <c r="F13" s="276" t="s">
        <v>339</v>
      </c>
      <c r="G13" s="275">
        <f t="shared" ref="G13:R13" si="3">+G10*G11*G12</f>
        <v>0</v>
      </c>
      <c r="H13" s="275">
        <f t="shared" si="3"/>
        <v>0</v>
      </c>
      <c r="I13" s="275">
        <f t="shared" si="3"/>
        <v>0</v>
      </c>
      <c r="J13" s="275">
        <f t="shared" si="3"/>
        <v>0</v>
      </c>
      <c r="K13" s="275">
        <f t="shared" si="3"/>
        <v>0</v>
      </c>
      <c r="L13" s="275">
        <f t="shared" si="3"/>
        <v>0</v>
      </c>
      <c r="M13" s="275">
        <f t="shared" si="3"/>
        <v>0</v>
      </c>
      <c r="N13" s="275">
        <f t="shared" si="3"/>
        <v>0</v>
      </c>
      <c r="O13" s="275">
        <f t="shared" si="3"/>
        <v>1440</v>
      </c>
      <c r="P13" s="275">
        <f t="shared" si="3"/>
        <v>0</v>
      </c>
      <c r="Q13" s="275">
        <f t="shared" si="3"/>
        <v>0</v>
      </c>
      <c r="R13" s="274">
        <f t="shared" si="3"/>
        <v>0</v>
      </c>
      <c r="S13" s="273"/>
      <c r="T13" s="273">
        <f>SUM(G13:S13)</f>
        <v>1440</v>
      </c>
    </row>
    <row r="14" spans="1:20" s="272" customFormat="1" outlineLevel="1" x14ac:dyDescent="0.35">
      <c r="D14" s="625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</row>
    <row r="15" spans="1:20" s="272" customFormat="1" ht="15" customHeight="1" outlineLevel="1" x14ac:dyDescent="0.35">
      <c r="D15" s="625"/>
      <c r="E15" s="630" t="s">
        <v>344</v>
      </c>
      <c r="F15" s="279" t="s">
        <v>338</v>
      </c>
      <c r="G15" s="278"/>
      <c r="H15" s="278"/>
      <c r="I15" s="278"/>
      <c r="J15" s="278"/>
      <c r="K15" s="278">
        <v>12</v>
      </c>
      <c r="L15" s="278"/>
      <c r="M15" s="278"/>
      <c r="N15" s="278"/>
      <c r="O15" s="278"/>
      <c r="P15" s="278"/>
      <c r="Q15" s="278"/>
      <c r="R15" s="278"/>
      <c r="S15" s="273"/>
      <c r="T15" s="273">
        <f>SUM(G15:S15)</f>
        <v>12</v>
      </c>
    </row>
    <row r="16" spans="1:20" s="272" customFormat="1" outlineLevel="1" x14ac:dyDescent="0.35">
      <c r="D16" s="625"/>
      <c r="E16" s="631"/>
      <c r="F16" s="272" t="s">
        <v>341</v>
      </c>
      <c r="G16" s="273">
        <v>470</v>
      </c>
      <c r="H16" s="273">
        <v>470</v>
      </c>
      <c r="I16" s="273">
        <v>470</v>
      </c>
      <c r="J16" s="273">
        <v>470</v>
      </c>
      <c r="K16" s="273">
        <v>470</v>
      </c>
      <c r="L16" s="273">
        <v>470</v>
      </c>
      <c r="M16" s="273">
        <v>470</v>
      </c>
      <c r="N16" s="273">
        <v>470</v>
      </c>
      <c r="O16" s="273">
        <v>470</v>
      </c>
      <c r="P16" s="273">
        <v>470</v>
      </c>
      <c r="Q16" s="273">
        <v>470</v>
      </c>
      <c r="R16" s="282">
        <v>470</v>
      </c>
      <c r="S16" s="273"/>
      <c r="T16" s="273">
        <f>AVERAGE(H16:R16)</f>
        <v>470</v>
      </c>
    </row>
    <row r="17" spans="4:20" s="272" customFormat="1" outlineLevel="1" x14ac:dyDescent="0.35">
      <c r="D17" s="625"/>
      <c r="E17" s="631"/>
      <c r="F17" s="272" t="s">
        <v>340</v>
      </c>
      <c r="G17" s="277">
        <v>1.6</v>
      </c>
      <c r="H17" s="277">
        <v>1.6</v>
      </c>
      <c r="I17" s="277">
        <v>1.6</v>
      </c>
      <c r="J17" s="277">
        <v>1.6</v>
      </c>
      <c r="K17" s="277">
        <v>2.2000000000000002</v>
      </c>
      <c r="L17" s="277">
        <v>1.6</v>
      </c>
      <c r="M17" s="277">
        <v>1.6</v>
      </c>
      <c r="N17" s="277">
        <v>1.6</v>
      </c>
      <c r="O17" s="277">
        <v>1.6</v>
      </c>
      <c r="P17" s="277">
        <v>1.6</v>
      </c>
      <c r="Q17" s="277">
        <v>1.6</v>
      </c>
      <c r="R17" s="277">
        <v>1.6</v>
      </c>
      <c r="S17" s="273"/>
      <c r="T17" s="277">
        <f>AVERAGE(H17:R17)</f>
        <v>1.6545454545454548</v>
      </c>
    </row>
    <row r="18" spans="4:20" s="272" customFormat="1" outlineLevel="1" x14ac:dyDescent="0.35">
      <c r="D18" s="625"/>
      <c r="E18" s="632"/>
      <c r="F18" s="276" t="s">
        <v>339</v>
      </c>
      <c r="G18" s="275">
        <f t="shared" ref="G18:S18" si="4">+G15*G16*G17</f>
        <v>0</v>
      </c>
      <c r="H18" s="275">
        <f t="shared" si="4"/>
        <v>0</v>
      </c>
      <c r="I18" s="275">
        <f t="shared" si="4"/>
        <v>0</v>
      </c>
      <c r="J18" s="275">
        <f t="shared" si="4"/>
        <v>0</v>
      </c>
      <c r="K18" s="275">
        <f t="shared" si="4"/>
        <v>12408.000000000002</v>
      </c>
      <c r="L18" s="275">
        <f t="shared" si="4"/>
        <v>0</v>
      </c>
      <c r="M18" s="275">
        <f t="shared" si="4"/>
        <v>0</v>
      </c>
      <c r="N18" s="275">
        <f t="shared" si="4"/>
        <v>0</v>
      </c>
      <c r="O18" s="275">
        <f t="shared" si="4"/>
        <v>0</v>
      </c>
      <c r="P18" s="275">
        <f t="shared" si="4"/>
        <v>0</v>
      </c>
      <c r="Q18" s="275">
        <f t="shared" si="4"/>
        <v>0</v>
      </c>
      <c r="R18" s="274">
        <f t="shared" si="4"/>
        <v>0</v>
      </c>
      <c r="S18" s="273">
        <f t="shared" si="4"/>
        <v>0</v>
      </c>
      <c r="T18" s="273">
        <f>SUM(G18:S18)</f>
        <v>12408.000000000002</v>
      </c>
    </row>
    <row r="19" spans="4:20" s="272" customFormat="1" outlineLevel="1" x14ac:dyDescent="0.35">
      <c r="D19" s="625"/>
      <c r="E19" s="281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73"/>
      <c r="T19" s="273"/>
    </row>
    <row r="20" spans="4:20" s="272" customFormat="1" outlineLevel="1" x14ac:dyDescent="0.35">
      <c r="D20" s="625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</row>
    <row r="21" spans="4:20" s="272" customFormat="1" ht="15" customHeight="1" outlineLevel="1" x14ac:dyDescent="0.35">
      <c r="D21" s="625"/>
      <c r="E21" s="627" t="s">
        <v>343</v>
      </c>
      <c r="F21" s="279" t="s">
        <v>338</v>
      </c>
      <c r="G21" s="278"/>
      <c r="H21" s="278"/>
      <c r="I21" s="278"/>
      <c r="J21" s="278"/>
      <c r="K21" s="278"/>
      <c r="L21" s="278"/>
      <c r="M21" s="278"/>
      <c r="N21" s="278">
        <v>22</v>
      </c>
      <c r="O21" s="278"/>
      <c r="P21" s="278"/>
      <c r="Q21" s="278"/>
      <c r="R21" s="278">
        <v>14</v>
      </c>
      <c r="S21" s="273"/>
      <c r="T21" s="273">
        <f>SUM(G21:S21)</f>
        <v>36</v>
      </c>
    </row>
    <row r="22" spans="4:20" s="272" customFormat="1" outlineLevel="1" x14ac:dyDescent="0.35">
      <c r="D22" s="625"/>
      <c r="E22" s="628"/>
      <c r="F22" s="272" t="s">
        <v>341</v>
      </c>
      <c r="G22" s="273">
        <v>250</v>
      </c>
      <c r="H22" s="273">
        <v>275</v>
      </c>
      <c r="I22" s="273">
        <v>300</v>
      </c>
      <c r="J22" s="273">
        <v>200</v>
      </c>
      <c r="K22" s="273">
        <v>200</v>
      </c>
      <c r="L22" s="273">
        <v>200</v>
      </c>
      <c r="M22" s="273">
        <v>200</v>
      </c>
      <c r="N22" s="273">
        <v>200</v>
      </c>
      <c r="O22" s="273">
        <v>200</v>
      </c>
      <c r="P22" s="273">
        <v>200</v>
      </c>
      <c r="Q22" s="273">
        <v>200</v>
      </c>
      <c r="R22" s="273">
        <v>335</v>
      </c>
      <c r="S22" s="273"/>
      <c r="T22" s="273">
        <f>AVERAGE(H22:R22)</f>
        <v>228.18181818181819</v>
      </c>
    </row>
    <row r="23" spans="4:20" s="272" customFormat="1" outlineLevel="1" x14ac:dyDescent="0.35">
      <c r="D23" s="625"/>
      <c r="E23" s="628"/>
      <c r="F23" s="272" t="s">
        <v>340</v>
      </c>
      <c r="G23" s="277">
        <v>1.5</v>
      </c>
      <c r="H23" s="277">
        <v>1.5</v>
      </c>
      <c r="I23" s="277">
        <v>1.5</v>
      </c>
      <c r="J23" s="277">
        <v>1.5</v>
      </c>
      <c r="K23" s="277">
        <v>1.5</v>
      </c>
      <c r="L23" s="277">
        <v>1.5</v>
      </c>
      <c r="M23" s="277">
        <v>1.5</v>
      </c>
      <c r="N23" s="277">
        <v>2</v>
      </c>
      <c r="O23" s="277">
        <v>1.5</v>
      </c>
      <c r="P23" s="277">
        <v>1.5</v>
      </c>
      <c r="Q23" s="277">
        <v>1.5</v>
      </c>
      <c r="R23" s="277">
        <v>2.5</v>
      </c>
      <c r="S23" s="273"/>
      <c r="T23" s="277">
        <f>AVERAGE(H23:R23)</f>
        <v>1.6363636363636365</v>
      </c>
    </row>
    <row r="24" spans="4:20" s="272" customFormat="1" outlineLevel="1" x14ac:dyDescent="0.35">
      <c r="D24" s="625"/>
      <c r="E24" s="629"/>
      <c r="F24" s="276" t="s">
        <v>339</v>
      </c>
      <c r="G24" s="275">
        <f t="shared" ref="G24:S24" si="5">+G21*G22*G23</f>
        <v>0</v>
      </c>
      <c r="H24" s="275">
        <f t="shared" si="5"/>
        <v>0</v>
      </c>
      <c r="I24" s="275">
        <f t="shared" si="5"/>
        <v>0</v>
      </c>
      <c r="J24" s="275">
        <f t="shared" si="5"/>
        <v>0</v>
      </c>
      <c r="K24" s="275">
        <f t="shared" si="5"/>
        <v>0</v>
      </c>
      <c r="L24" s="275">
        <f t="shared" si="5"/>
        <v>0</v>
      </c>
      <c r="M24" s="275">
        <f t="shared" si="5"/>
        <v>0</v>
      </c>
      <c r="N24" s="275">
        <f t="shared" si="5"/>
        <v>8800</v>
      </c>
      <c r="O24" s="275">
        <f t="shared" si="5"/>
        <v>0</v>
      </c>
      <c r="P24" s="275">
        <f t="shared" si="5"/>
        <v>0</v>
      </c>
      <c r="Q24" s="275">
        <f t="shared" si="5"/>
        <v>0</v>
      </c>
      <c r="R24" s="274">
        <f t="shared" si="5"/>
        <v>11725</v>
      </c>
      <c r="S24" s="273">
        <f t="shared" si="5"/>
        <v>0</v>
      </c>
      <c r="T24" s="273">
        <f>SUM(G24:S24)</f>
        <v>20525</v>
      </c>
    </row>
    <row r="25" spans="4:20" s="272" customFormat="1" outlineLevel="1" x14ac:dyDescent="0.35">
      <c r="D25" s="625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</row>
    <row r="26" spans="4:20" s="272" customFormat="1" outlineLevel="1" x14ac:dyDescent="0.35">
      <c r="D26" s="625"/>
      <c r="E26" s="630" t="s">
        <v>342</v>
      </c>
      <c r="F26" s="279" t="s">
        <v>338</v>
      </c>
      <c r="G26" s="278"/>
      <c r="H26" s="278"/>
      <c r="I26" s="278"/>
      <c r="J26" s="278"/>
      <c r="K26" s="278"/>
      <c r="L26" s="278"/>
      <c r="M26" s="278"/>
      <c r="N26" s="278"/>
      <c r="O26" s="278">
        <v>15</v>
      </c>
      <c r="P26" s="278"/>
      <c r="Q26" s="278"/>
      <c r="R26" s="278"/>
      <c r="S26" s="273"/>
      <c r="T26" s="273">
        <f>SUM(G26:S26)</f>
        <v>15</v>
      </c>
    </row>
    <row r="27" spans="4:20" s="272" customFormat="1" outlineLevel="1" x14ac:dyDescent="0.35">
      <c r="D27" s="625"/>
      <c r="E27" s="631"/>
      <c r="F27" s="272" t="s">
        <v>341</v>
      </c>
      <c r="G27" s="273">
        <v>200</v>
      </c>
      <c r="H27" s="273">
        <v>180</v>
      </c>
      <c r="I27" s="273">
        <v>325</v>
      </c>
      <c r="J27" s="273">
        <v>325</v>
      </c>
      <c r="K27" s="273">
        <v>325</v>
      </c>
      <c r="L27" s="273">
        <v>325</v>
      </c>
      <c r="M27" s="273">
        <v>200</v>
      </c>
      <c r="N27" s="273">
        <v>325</v>
      </c>
      <c r="O27" s="273">
        <v>220</v>
      </c>
      <c r="P27" s="273">
        <v>325</v>
      </c>
      <c r="Q27" s="273">
        <v>325</v>
      </c>
      <c r="R27" s="273">
        <v>325</v>
      </c>
      <c r="S27" s="273"/>
      <c r="T27" s="273">
        <f>AVERAGE(H27:R27)</f>
        <v>290.90909090909093</v>
      </c>
    </row>
    <row r="28" spans="4:20" s="272" customFormat="1" outlineLevel="1" x14ac:dyDescent="0.35">
      <c r="D28" s="625"/>
      <c r="E28" s="631"/>
      <c r="F28" s="272" t="s">
        <v>340</v>
      </c>
      <c r="G28" s="277">
        <v>2</v>
      </c>
      <c r="H28" s="277">
        <v>1.2</v>
      </c>
      <c r="I28" s="277">
        <v>2</v>
      </c>
      <c r="J28" s="277">
        <v>2</v>
      </c>
      <c r="K28" s="277">
        <v>2</v>
      </c>
      <c r="L28" s="277">
        <v>2</v>
      </c>
      <c r="M28" s="277">
        <v>2</v>
      </c>
      <c r="N28" s="277">
        <v>2</v>
      </c>
      <c r="O28" s="277">
        <v>3</v>
      </c>
      <c r="P28" s="277">
        <v>2</v>
      </c>
      <c r="Q28" s="277">
        <v>2</v>
      </c>
      <c r="R28" s="277">
        <v>2</v>
      </c>
      <c r="S28" s="273"/>
      <c r="T28" s="277">
        <f>AVERAGE(H28:R28)</f>
        <v>2.0181818181818181</v>
      </c>
    </row>
    <row r="29" spans="4:20" s="272" customFormat="1" outlineLevel="1" x14ac:dyDescent="0.35">
      <c r="D29" s="626"/>
      <c r="E29" s="632"/>
      <c r="F29" s="276" t="s">
        <v>339</v>
      </c>
      <c r="G29" s="275">
        <f t="shared" ref="G29:S29" si="6">+G26*G27*G28</f>
        <v>0</v>
      </c>
      <c r="H29" s="275">
        <f t="shared" si="6"/>
        <v>0</v>
      </c>
      <c r="I29" s="275">
        <f t="shared" si="6"/>
        <v>0</v>
      </c>
      <c r="J29" s="275">
        <f t="shared" si="6"/>
        <v>0</v>
      </c>
      <c r="K29" s="275">
        <f t="shared" si="6"/>
        <v>0</v>
      </c>
      <c r="L29" s="275">
        <f t="shared" si="6"/>
        <v>0</v>
      </c>
      <c r="M29" s="275">
        <f t="shared" si="6"/>
        <v>0</v>
      </c>
      <c r="N29" s="275">
        <f t="shared" si="6"/>
        <v>0</v>
      </c>
      <c r="O29" s="275">
        <f t="shared" si="6"/>
        <v>9900</v>
      </c>
      <c r="P29" s="275">
        <f t="shared" si="6"/>
        <v>0</v>
      </c>
      <c r="Q29" s="275">
        <f t="shared" si="6"/>
        <v>0</v>
      </c>
      <c r="R29" s="274">
        <f t="shared" si="6"/>
        <v>0</v>
      </c>
      <c r="S29" s="273">
        <f t="shared" si="6"/>
        <v>0</v>
      </c>
      <c r="T29" s="273">
        <f>SUM(G29:S29)</f>
        <v>9900</v>
      </c>
    </row>
    <row r="30" spans="4:20" s="272" customFormat="1" x14ac:dyDescent="0.35"/>
    <row r="31" spans="4:20" s="272" customFormat="1" x14ac:dyDescent="0.35"/>
    <row r="32" spans="4:20" s="272" customFormat="1" x14ac:dyDescent="0.35"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</row>
    <row r="33" spans="6:20" s="272" customFormat="1" x14ac:dyDescent="0.35"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6:20" s="272" customFormat="1" x14ac:dyDescent="0.35"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  <row r="35" spans="6:20" s="272" customFormat="1" x14ac:dyDescent="0.35"/>
    <row r="36" spans="6:20" s="272" customFormat="1" x14ac:dyDescent="0.35"/>
    <row r="37" spans="6:20" s="272" customFormat="1" x14ac:dyDescent="0.35"/>
    <row r="38" spans="6:20" s="272" customFormat="1" x14ac:dyDescent="0.35"/>
    <row r="39" spans="6:20" s="272" customFormat="1" x14ac:dyDescent="0.35"/>
    <row r="40" spans="6:20" s="272" customFormat="1" x14ac:dyDescent="0.35"/>
    <row r="41" spans="6:20" s="272" customFormat="1" x14ac:dyDescent="0.35"/>
    <row r="42" spans="6:20" s="272" customFormat="1" x14ac:dyDescent="0.35"/>
    <row r="43" spans="6:20" s="272" customFormat="1" x14ac:dyDescent="0.35"/>
    <row r="44" spans="6:20" s="272" customFormat="1" x14ac:dyDescent="0.35"/>
    <row r="45" spans="6:20" s="272" customFormat="1" x14ac:dyDescent="0.35"/>
    <row r="46" spans="6:20" s="272" customFormat="1" x14ac:dyDescent="0.35"/>
    <row r="47" spans="6:20" s="272" customFormat="1" x14ac:dyDescent="0.35"/>
    <row r="48" spans="6:20" s="272" customFormat="1" x14ac:dyDescent="0.35"/>
    <row r="49" s="272" customFormat="1" x14ac:dyDescent="0.35"/>
    <row r="50" s="272" customFormat="1" x14ac:dyDescent="0.35"/>
    <row r="51" s="272" customFormat="1" x14ac:dyDescent="0.35"/>
    <row r="52" s="272" customFormat="1" x14ac:dyDescent="0.35"/>
    <row r="53" s="272" customFormat="1" x14ac:dyDescent="0.35"/>
    <row r="54" s="272" customFormat="1" x14ac:dyDescent="0.35"/>
    <row r="55" s="272" customFormat="1" x14ac:dyDescent="0.35"/>
    <row r="56" s="272" customFormat="1" x14ac:dyDescent="0.35"/>
    <row r="57" s="272" customFormat="1" x14ac:dyDescent="0.35"/>
    <row r="58" s="272" customFormat="1" x14ac:dyDescent="0.35"/>
    <row r="59" s="272" customFormat="1" x14ac:dyDescent="0.35"/>
    <row r="60" s="272" customFormat="1" x14ac:dyDescent="0.35"/>
    <row r="61" s="272" customFormat="1" x14ac:dyDescent="0.35"/>
    <row r="62" s="272" customFormat="1" x14ac:dyDescent="0.35"/>
    <row r="63" s="272" customFormat="1" x14ac:dyDescent="0.35"/>
    <row r="64" s="272" customFormat="1" x14ac:dyDescent="0.35"/>
    <row r="65" s="272" customFormat="1" x14ac:dyDescent="0.35"/>
    <row r="66" s="272" customFormat="1" x14ac:dyDescent="0.35"/>
    <row r="67" s="272" customFormat="1" x14ac:dyDescent="0.35"/>
    <row r="68" s="272" customFormat="1" x14ac:dyDescent="0.35"/>
    <row r="69" s="272" customFormat="1" x14ac:dyDescent="0.35"/>
    <row r="70" s="272" customFormat="1" x14ac:dyDescent="0.35"/>
    <row r="71" s="272" customFormat="1" x14ac:dyDescent="0.35"/>
    <row r="72" s="272" customFormat="1" x14ac:dyDescent="0.35"/>
    <row r="73" s="272" customFormat="1" x14ac:dyDescent="0.35"/>
    <row r="74" s="272" customFormat="1" x14ac:dyDescent="0.35"/>
    <row r="75" s="272" customFormat="1" x14ac:dyDescent="0.35"/>
    <row r="76" s="272" customFormat="1" x14ac:dyDescent="0.35"/>
    <row r="77" s="272" customFormat="1" x14ac:dyDescent="0.35"/>
    <row r="78" s="272" customFormat="1" x14ac:dyDescent="0.35"/>
    <row r="79" s="272" customFormat="1" x14ac:dyDescent="0.35"/>
    <row r="80" s="272" customFormat="1" x14ac:dyDescent="0.35"/>
    <row r="81" s="272" customFormat="1" x14ac:dyDescent="0.35"/>
    <row r="82" s="272" customFormat="1" x14ac:dyDescent="0.35"/>
    <row r="83" s="272" customFormat="1" x14ac:dyDescent="0.35"/>
    <row r="84" s="272" customFormat="1" x14ac:dyDescent="0.35"/>
    <row r="85" s="272" customFormat="1" x14ac:dyDescent="0.35"/>
    <row r="86" s="272" customFormat="1" x14ac:dyDescent="0.35"/>
    <row r="87" s="272" customFormat="1" x14ac:dyDescent="0.35"/>
    <row r="88" s="272" customFormat="1" x14ac:dyDescent="0.35"/>
    <row r="89" s="272" customFormat="1" x14ac:dyDescent="0.35"/>
    <row r="90" s="272" customFormat="1" x14ac:dyDescent="0.35"/>
    <row r="91" s="272" customFormat="1" x14ac:dyDescent="0.35"/>
    <row r="92" s="272" customFormat="1" x14ac:dyDescent="0.35"/>
    <row r="93" s="272" customFormat="1" x14ac:dyDescent="0.35"/>
    <row r="94" s="272" customFormat="1" x14ac:dyDescent="0.35"/>
    <row r="95" s="272" customFormat="1" x14ac:dyDescent="0.35"/>
    <row r="96" s="272" customFormat="1" x14ac:dyDescent="0.35"/>
    <row r="97" s="272" customFormat="1" x14ac:dyDescent="0.35"/>
    <row r="98" s="272" customFormat="1" x14ac:dyDescent="0.35"/>
    <row r="99" s="272" customFormat="1" x14ac:dyDescent="0.35"/>
    <row r="100" s="272" customFormat="1" x14ac:dyDescent="0.35"/>
    <row r="101" s="272" customFormat="1" x14ac:dyDescent="0.35"/>
    <row r="102" s="272" customFormat="1" x14ac:dyDescent="0.35"/>
    <row r="103" s="272" customFormat="1" x14ac:dyDescent="0.35"/>
    <row r="104" s="272" customFormat="1" x14ac:dyDescent="0.35"/>
    <row r="105" s="272" customFormat="1" x14ac:dyDescent="0.35"/>
    <row r="106" s="272" customFormat="1" x14ac:dyDescent="0.35"/>
    <row r="107" s="272" customFormat="1" x14ac:dyDescent="0.35"/>
    <row r="108" s="272" customFormat="1" x14ac:dyDescent="0.35"/>
    <row r="109" s="272" customFormat="1" x14ac:dyDescent="0.35"/>
    <row r="110" s="272" customFormat="1" x14ac:dyDescent="0.35"/>
    <row r="111" s="272" customFormat="1" x14ac:dyDescent="0.35"/>
    <row r="112" s="272" customFormat="1" x14ac:dyDescent="0.35"/>
    <row r="113" s="272" customFormat="1" x14ac:dyDescent="0.35"/>
    <row r="114" s="272" customFormat="1" x14ac:dyDescent="0.35"/>
    <row r="115" s="272" customFormat="1" x14ac:dyDescent="0.35"/>
    <row r="116" s="272" customFormat="1" x14ac:dyDescent="0.35"/>
  </sheetData>
  <mergeCells count="5">
    <mergeCell ref="D10:D29"/>
    <mergeCell ref="E10:E13"/>
    <mergeCell ref="E15:E18"/>
    <mergeCell ref="E21:E24"/>
    <mergeCell ref="E26:E29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5"/>
  <sheetViews>
    <sheetView workbookViewId="0">
      <selection activeCell="Y9" sqref="Y9"/>
    </sheetView>
  </sheetViews>
  <sheetFormatPr defaultColWidth="8.77734375" defaultRowHeight="14.4" x14ac:dyDescent="0.3"/>
  <cols>
    <col min="1" max="1" width="14" style="310" bestFit="1" customWidth="1"/>
    <col min="2" max="2" width="4.21875" style="310" bestFit="1" customWidth="1"/>
    <col min="3" max="3" width="8" style="310" customWidth="1"/>
    <col min="4" max="4" width="5.77734375" style="310" bestFit="1" customWidth="1"/>
    <col min="5" max="5" width="8.21875" style="310" bestFit="1" customWidth="1"/>
    <col min="6" max="6" width="5.77734375" style="310" bestFit="1" customWidth="1"/>
    <col min="7" max="7" width="8.21875" style="310" bestFit="1" customWidth="1"/>
    <col min="8" max="8" width="5.77734375" style="310" bestFit="1" customWidth="1"/>
    <col min="9" max="9" width="8.21875" style="310" bestFit="1" customWidth="1"/>
    <col min="10" max="10" width="5.77734375" style="310" bestFit="1" customWidth="1"/>
    <col min="11" max="11" width="8.21875" style="310" bestFit="1" customWidth="1"/>
    <col min="12" max="12" width="10.44140625" style="310" bestFit="1" customWidth="1"/>
    <col min="13" max="13" width="8.21875" style="310" bestFit="1" customWidth="1"/>
    <col min="14" max="14" width="10.44140625" style="310" bestFit="1" customWidth="1"/>
    <col min="15" max="15" width="8.21875" style="310" bestFit="1" customWidth="1"/>
    <col min="16" max="16" width="5.77734375" style="310" bestFit="1" customWidth="1"/>
    <col min="17" max="17" width="8.21875" style="310" bestFit="1" customWidth="1"/>
    <col min="18" max="18" width="5.77734375" style="310" bestFit="1" customWidth="1"/>
    <col min="19" max="19" width="8.21875" style="310" bestFit="1" customWidth="1"/>
    <col min="20" max="20" width="5.77734375" style="310" bestFit="1" customWidth="1"/>
    <col min="21" max="21" width="8.21875" style="310" bestFit="1" customWidth="1"/>
    <col min="22" max="22" width="5.77734375" style="310" bestFit="1" customWidth="1"/>
    <col min="23" max="23" width="8.21875" style="310" bestFit="1" customWidth="1"/>
    <col min="24" max="24" width="5.77734375" style="310" bestFit="1" customWidth="1"/>
    <col min="25" max="25" width="8.21875" style="310" bestFit="1" customWidth="1"/>
    <col min="26" max="26" width="9" style="310" bestFit="1" customWidth="1"/>
    <col min="27" max="16384" width="8.77734375" style="310"/>
  </cols>
  <sheetData>
    <row r="1" spans="1:27" ht="26.55" customHeight="1" x14ac:dyDescent="0.3">
      <c r="A1" s="325" t="s">
        <v>353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</row>
    <row r="2" spans="1:27" ht="15" thickBot="1" x14ac:dyDescent="0.35">
      <c r="A2" s="326"/>
      <c r="B2" s="326"/>
      <c r="C2" s="326">
        <v>26</v>
      </c>
      <c r="D2" s="326"/>
      <c r="E2" s="326">
        <v>24</v>
      </c>
      <c r="F2" s="326"/>
      <c r="G2" s="327">
        <v>26</v>
      </c>
      <c r="H2" s="326"/>
      <c r="I2" s="326">
        <v>25</v>
      </c>
      <c r="J2" s="326"/>
      <c r="K2" s="326">
        <v>26</v>
      </c>
      <c r="L2" s="326"/>
      <c r="M2" s="326">
        <v>25</v>
      </c>
      <c r="N2" s="326"/>
      <c r="O2" s="326">
        <v>26</v>
      </c>
      <c r="P2" s="326"/>
      <c r="Q2" s="326">
        <v>26</v>
      </c>
      <c r="R2" s="326"/>
      <c r="S2" s="326">
        <v>25</v>
      </c>
      <c r="T2" s="326"/>
      <c r="U2" s="326">
        <v>26</v>
      </c>
      <c r="V2" s="326"/>
      <c r="W2" s="326">
        <v>25</v>
      </c>
      <c r="X2" s="326"/>
      <c r="Y2" s="326">
        <v>26</v>
      </c>
      <c r="Z2" s="326"/>
    </row>
    <row r="3" spans="1:27" ht="15" thickBot="1" x14ac:dyDescent="0.35">
      <c r="A3" s="320"/>
      <c r="B3" s="633" t="s">
        <v>16</v>
      </c>
      <c r="C3" s="634"/>
      <c r="D3" s="633" t="s">
        <v>0</v>
      </c>
      <c r="E3" s="634"/>
      <c r="F3" s="633" t="s">
        <v>1</v>
      </c>
      <c r="G3" s="634"/>
      <c r="H3" s="633" t="s">
        <v>2</v>
      </c>
      <c r="I3" s="634"/>
      <c r="J3" s="633" t="s">
        <v>3</v>
      </c>
      <c r="K3" s="634"/>
      <c r="L3" s="633" t="s">
        <v>4</v>
      </c>
      <c r="M3" s="634"/>
      <c r="N3" s="633" t="s">
        <v>5</v>
      </c>
      <c r="O3" s="634"/>
      <c r="P3" s="633" t="s">
        <v>6</v>
      </c>
      <c r="Q3" s="634"/>
      <c r="R3" s="633" t="s">
        <v>7</v>
      </c>
      <c r="S3" s="634"/>
      <c r="T3" s="633" t="s">
        <v>8</v>
      </c>
      <c r="U3" s="634"/>
      <c r="V3" s="633" t="s">
        <v>9</v>
      </c>
      <c r="W3" s="634"/>
      <c r="X3" s="633" t="s">
        <v>10</v>
      </c>
      <c r="Y3" s="634"/>
      <c r="Z3" s="324" t="s">
        <v>337</v>
      </c>
    </row>
    <row r="4" spans="1:27" x14ac:dyDescent="0.3">
      <c r="A4" s="321" t="str">
        <f>'Inputs '!A40</f>
        <v xml:space="preserve">Foreman </v>
      </c>
      <c r="B4" s="312">
        <v>1</v>
      </c>
      <c r="C4" s="313">
        <f>B4*'Inputs '!B40*$C$2</f>
        <v>260</v>
      </c>
      <c r="D4" s="312">
        <v>1</v>
      </c>
      <c r="E4" s="313">
        <f>D4*'Inputs '!C40*$E$2</f>
        <v>240</v>
      </c>
      <c r="F4" s="312">
        <v>1</v>
      </c>
      <c r="G4" s="313">
        <f>F4*'Inputs '!D40*$G$2</f>
        <v>260</v>
      </c>
      <c r="H4" s="312">
        <v>1</v>
      </c>
      <c r="I4" s="313">
        <f>H4*'Inputs '!E40*$I$2</f>
        <v>250</v>
      </c>
      <c r="J4" s="312">
        <v>1</v>
      </c>
      <c r="K4" s="313">
        <f>J4*'Inputs '!F40*$K$2</f>
        <v>260</v>
      </c>
      <c r="L4" s="312">
        <v>1</v>
      </c>
      <c r="M4" s="313">
        <f>L4*'Inputs '!G40*M$2</f>
        <v>250</v>
      </c>
      <c r="N4" s="312">
        <v>1</v>
      </c>
      <c r="O4" s="313">
        <f>N4*'Inputs '!H40*$O$2</f>
        <v>260</v>
      </c>
      <c r="P4" s="312">
        <v>1</v>
      </c>
      <c r="Q4" s="313">
        <f>P4*'Inputs '!I40*$Q$2</f>
        <v>260</v>
      </c>
      <c r="R4" s="312">
        <v>1</v>
      </c>
      <c r="S4" s="313">
        <f>R4*'Inputs '!J40*$S$2</f>
        <v>250</v>
      </c>
      <c r="T4" s="312">
        <v>1</v>
      </c>
      <c r="U4" s="313">
        <f>T4*'Inputs '!K40*$U$2</f>
        <v>260</v>
      </c>
      <c r="V4" s="312">
        <v>1</v>
      </c>
      <c r="W4" s="313">
        <f>V4*'Inputs '!L40*$W$2</f>
        <v>250</v>
      </c>
      <c r="X4" s="312">
        <v>1</v>
      </c>
      <c r="Y4" s="313">
        <f>X4*'Inputs '!M40*$Y$2</f>
        <v>520</v>
      </c>
      <c r="Z4" s="314">
        <f>SUM(C4,E4,G4,I4,K4,M4,O4,Q4,S4,U4,W4,Y4)</f>
        <v>3320</v>
      </c>
      <c r="AA4" s="315"/>
    </row>
    <row r="5" spans="1:27" x14ac:dyDescent="0.3">
      <c r="A5" s="322" t="str">
        <f>'Inputs '!A41</f>
        <v>Admin</v>
      </c>
      <c r="B5" s="316">
        <v>0</v>
      </c>
      <c r="C5" s="306">
        <f>B5*'Inputs '!B41*$C$2</f>
        <v>0</v>
      </c>
      <c r="D5" s="316">
        <v>0</v>
      </c>
      <c r="E5" s="306">
        <f>D5*'Inputs '!C41*$E$2</f>
        <v>0</v>
      </c>
      <c r="F5" s="316">
        <v>0</v>
      </c>
      <c r="G5" s="306">
        <f>F5*'Inputs '!D41*$C$2</f>
        <v>0</v>
      </c>
      <c r="H5" s="316">
        <v>0</v>
      </c>
      <c r="I5" s="306">
        <f>H5*'Inputs '!E41*$I$2</f>
        <v>0</v>
      </c>
      <c r="J5" s="316">
        <v>0</v>
      </c>
      <c r="K5" s="306">
        <f>J5*'Inputs '!F41*$K$2</f>
        <v>0</v>
      </c>
      <c r="L5" s="316">
        <v>0</v>
      </c>
      <c r="M5" s="306">
        <f>L5*'Inputs '!G41*M$2</f>
        <v>0</v>
      </c>
      <c r="N5" s="316">
        <v>0</v>
      </c>
      <c r="O5" s="306">
        <f>N5*'Inputs '!H41*$O$2</f>
        <v>0</v>
      </c>
      <c r="P5" s="316">
        <v>0</v>
      </c>
      <c r="Q5" s="306">
        <f>P5*'Inputs '!I41*$Q$2</f>
        <v>0</v>
      </c>
      <c r="R5" s="316">
        <v>0</v>
      </c>
      <c r="S5" s="306">
        <f>R5*'Inputs '!J41*$S$2</f>
        <v>0</v>
      </c>
      <c r="T5" s="316">
        <v>0</v>
      </c>
      <c r="U5" s="306">
        <f>T5*'Inputs '!K41*$U$2</f>
        <v>0</v>
      </c>
      <c r="V5" s="316">
        <v>0</v>
      </c>
      <c r="W5" s="306">
        <f>V5*'Inputs '!L41*$W$2</f>
        <v>0</v>
      </c>
      <c r="X5" s="316">
        <v>0</v>
      </c>
      <c r="Y5" s="306">
        <f>X5*'Inputs '!M41*$Y$2</f>
        <v>0</v>
      </c>
      <c r="Z5" s="308">
        <f t="shared" ref="Z5:Z21" si="0">SUM(C5,E5,G5,I5,K5,M5,O5,Q5,S5,U5,W5,Y5)</f>
        <v>0</v>
      </c>
      <c r="AA5" s="315"/>
    </row>
    <row r="6" spans="1:27" x14ac:dyDescent="0.3">
      <c r="A6" s="322" t="str">
        <f>'Inputs '!A42</f>
        <v xml:space="preserve">Security Guard </v>
      </c>
      <c r="B6" s="316">
        <v>1</v>
      </c>
      <c r="C6" s="306">
        <f>B6*'Inputs '!B42*$C$2</f>
        <v>156</v>
      </c>
      <c r="D6" s="316">
        <v>1</v>
      </c>
      <c r="E6" s="306">
        <f>D6*'Inputs '!C42*$E$2</f>
        <v>144</v>
      </c>
      <c r="F6" s="316">
        <v>1</v>
      </c>
      <c r="G6" s="306">
        <f>F6*'Inputs '!D42*$C$2</f>
        <v>156</v>
      </c>
      <c r="H6" s="316">
        <v>1</v>
      </c>
      <c r="I6" s="306">
        <f>H6*'Inputs '!E42*$I$2</f>
        <v>150</v>
      </c>
      <c r="J6" s="316">
        <v>1</v>
      </c>
      <c r="K6" s="306">
        <f>J6*'Inputs '!F42*$K$2</f>
        <v>156</v>
      </c>
      <c r="L6" s="316">
        <v>1</v>
      </c>
      <c r="M6" s="306">
        <f>L6*'Inputs '!G42*M$2</f>
        <v>150</v>
      </c>
      <c r="N6" s="316">
        <v>1</v>
      </c>
      <c r="O6" s="306">
        <f>N6*'Inputs '!H42*$O$2</f>
        <v>156</v>
      </c>
      <c r="P6" s="316">
        <v>1</v>
      </c>
      <c r="Q6" s="306">
        <f>P6*'Inputs '!I42*$Q$2</f>
        <v>156</v>
      </c>
      <c r="R6" s="316">
        <v>1</v>
      </c>
      <c r="S6" s="306">
        <f>R6*'Inputs '!J42*$S$2</f>
        <v>150</v>
      </c>
      <c r="T6" s="316">
        <v>1</v>
      </c>
      <c r="U6" s="306">
        <f>T6*'Inputs '!K42*$U$2</f>
        <v>156</v>
      </c>
      <c r="V6" s="316">
        <v>1</v>
      </c>
      <c r="W6" s="306">
        <f>V6*'Inputs '!L42*$W$2</f>
        <v>150</v>
      </c>
      <c r="X6" s="316">
        <v>1</v>
      </c>
      <c r="Y6" s="306">
        <v>1</v>
      </c>
      <c r="Z6" s="308">
        <f t="shared" si="0"/>
        <v>1681</v>
      </c>
      <c r="AA6" s="315"/>
    </row>
    <row r="7" spans="1:27" x14ac:dyDescent="0.3">
      <c r="A7" s="322" t="str">
        <f>'Inputs '!A43</f>
        <v xml:space="preserve">Driver </v>
      </c>
      <c r="B7" s="316"/>
      <c r="C7" s="306">
        <f>B7*'Inputs '!B43*$C$2</f>
        <v>0</v>
      </c>
      <c r="D7" s="316"/>
      <c r="E7" s="306">
        <f>D7*'Inputs '!C43*$E$2</f>
        <v>0</v>
      </c>
      <c r="F7" s="316"/>
      <c r="G7" s="306">
        <f>F7*'Inputs '!D43*$C$2</f>
        <v>0</v>
      </c>
      <c r="H7" s="316"/>
      <c r="I7" s="306">
        <f>H7*'Inputs '!E43*$I$2</f>
        <v>0</v>
      </c>
      <c r="J7" s="316"/>
      <c r="K7" s="306">
        <f>J7*'Inputs '!F43*$K$2</f>
        <v>0</v>
      </c>
      <c r="L7" s="316"/>
      <c r="M7" s="306">
        <f>L7*'Inputs '!G43*M$2</f>
        <v>0</v>
      </c>
      <c r="N7" s="316"/>
      <c r="O7" s="306">
        <f>N7*'Inputs '!H43*$O$2</f>
        <v>0</v>
      </c>
      <c r="P7" s="316"/>
      <c r="Q7" s="306">
        <f>P7*'Inputs '!I43*$Q$2</f>
        <v>0</v>
      </c>
      <c r="R7" s="316"/>
      <c r="S7" s="306">
        <f>R7*'Inputs '!J43*$S$2</f>
        <v>0</v>
      </c>
      <c r="T7" s="316"/>
      <c r="U7" s="306">
        <f>T7*'Inputs '!K43*$U$2</f>
        <v>0</v>
      </c>
      <c r="V7" s="316"/>
      <c r="W7" s="306">
        <f>V7*'Inputs '!L43*$W$2</f>
        <v>0</v>
      </c>
      <c r="X7" s="316"/>
      <c r="Y7" s="306">
        <f>X7*'Inputs '!M43*$Y$2</f>
        <v>0</v>
      </c>
      <c r="Z7" s="308">
        <f t="shared" si="0"/>
        <v>0</v>
      </c>
      <c r="AA7" s="315"/>
    </row>
    <row r="8" spans="1:27" x14ac:dyDescent="0.3">
      <c r="A8" s="322" t="str">
        <f>'Inputs '!A44</f>
        <v xml:space="preserve">Domestic </v>
      </c>
      <c r="B8" s="316"/>
      <c r="C8" s="306">
        <f>B8*'Inputs '!B44*$C$2</f>
        <v>0</v>
      </c>
      <c r="D8" s="316"/>
      <c r="E8" s="306">
        <f>D8*'Inputs '!C44*$E$2</f>
        <v>0</v>
      </c>
      <c r="F8" s="316"/>
      <c r="G8" s="306">
        <f>F8*'Inputs '!D44*$C$2</f>
        <v>0</v>
      </c>
      <c r="H8" s="316"/>
      <c r="I8" s="306">
        <f>H8*'Inputs '!E44*$I$2</f>
        <v>0</v>
      </c>
      <c r="J8" s="316">
        <v>0</v>
      </c>
      <c r="K8" s="306">
        <f>J8*'Inputs '!F44*$K$2</f>
        <v>0</v>
      </c>
      <c r="L8" s="316">
        <v>0</v>
      </c>
      <c r="M8" s="306">
        <f>L8*'Inputs '!G44*M$2</f>
        <v>0</v>
      </c>
      <c r="N8" s="316">
        <v>0</v>
      </c>
      <c r="O8" s="306">
        <f>N8*'Inputs '!H44*$O$2</f>
        <v>0</v>
      </c>
      <c r="P8" s="316">
        <v>0</v>
      </c>
      <c r="Q8" s="306">
        <f>P8*'Inputs '!I44*$Q$2</f>
        <v>0</v>
      </c>
      <c r="R8" s="316">
        <v>0</v>
      </c>
      <c r="S8" s="306">
        <f>R8*'Inputs '!J44*$S$2</f>
        <v>0</v>
      </c>
      <c r="T8" s="316">
        <v>0</v>
      </c>
      <c r="U8" s="306">
        <f>T8*'Inputs '!K44*$U$2</f>
        <v>0</v>
      </c>
      <c r="V8" s="316">
        <v>0</v>
      </c>
      <c r="W8" s="306">
        <f>V8*'Inputs '!L44*$W$2</f>
        <v>0</v>
      </c>
      <c r="X8" s="316">
        <v>0</v>
      </c>
      <c r="Y8" s="306">
        <f>X8*'Inputs '!M44*$Y$2</f>
        <v>0</v>
      </c>
      <c r="Z8" s="308">
        <f t="shared" si="0"/>
        <v>0</v>
      </c>
      <c r="AA8" s="315"/>
    </row>
    <row r="9" spans="1:27" x14ac:dyDescent="0.3">
      <c r="A9" s="322" t="str">
        <f>'Inputs '!A45</f>
        <v xml:space="preserve">Herdsman </v>
      </c>
      <c r="B9" s="316">
        <v>3</v>
      </c>
      <c r="C9" s="306">
        <f>B9*'Inputs '!B45*$C$2</f>
        <v>390</v>
      </c>
      <c r="D9" s="316">
        <v>3</v>
      </c>
      <c r="E9" s="306">
        <f>D9*'Inputs '!C45*$E$2</f>
        <v>360</v>
      </c>
      <c r="F9" s="316">
        <v>3</v>
      </c>
      <c r="G9" s="306">
        <f>F9*'Inputs '!D45*$C$2</f>
        <v>390</v>
      </c>
      <c r="H9" s="316">
        <v>3</v>
      </c>
      <c r="I9" s="306">
        <f>H9*'Inputs '!E45*$I$2</f>
        <v>375</v>
      </c>
      <c r="J9" s="316">
        <v>3</v>
      </c>
      <c r="K9" s="306">
        <f>J9*'Inputs '!F45*$K$2</f>
        <v>390</v>
      </c>
      <c r="L9" s="316">
        <v>3</v>
      </c>
      <c r="M9" s="306">
        <f>L9*'Inputs '!G45*M$2</f>
        <v>375</v>
      </c>
      <c r="N9" s="316">
        <v>3</v>
      </c>
      <c r="O9" s="306">
        <f>N9*'Inputs '!H45*$O$2</f>
        <v>390</v>
      </c>
      <c r="P9" s="316">
        <v>3</v>
      </c>
      <c r="Q9" s="306">
        <f>P9*'Inputs '!I45*$Q$2</f>
        <v>390</v>
      </c>
      <c r="R9" s="316">
        <v>3</v>
      </c>
      <c r="S9" s="306">
        <f>R9*'Inputs '!J45*$S$2</f>
        <v>375</v>
      </c>
      <c r="T9" s="316">
        <v>3</v>
      </c>
      <c r="U9" s="306">
        <f>T9*'Inputs '!K45*$U$2</f>
        <v>390</v>
      </c>
      <c r="V9" s="316">
        <v>3</v>
      </c>
      <c r="W9" s="306">
        <f>V9*'Inputs '!L45*$W$2</f>
        <v>375</v>
      </c>
      <c r="X9" s="316">
        <v>3</v>
      </c>
      <c r="Y9" s="306">
        <f>X9*'Inputs '!M45*$Y$2</f>
        <v>780</v>
      </c>
      <c r="Z9" s="308">
        <f t="shared" si="0"/>
        <v>4980</v>
      </c>
      <c r="AA9" s="315"/>
    </row>
    <row r="10" spans="1:27" x14ac:dyDescent="0.3">
      <c r="A10" s="322" t="str">
        <f>'Inputs '!A46</f>
        <v xml:space="preserve">Casual </v>
      </c>
      <c r="B10" s="316"/>
      <c r="C10" s="306">
        <f>B10*'Inputs '!B46*$C$2</f>
        <v>0</v>
      </c>
      <c r="D10" s="316">
        <v>0</v>
      </c>
      <c r="E10" s="306">
        <f>D10*'Inputs '!C46*$E$2</f>
        <v>0</v>
      </c>
      <c r="F10" s="316">
        <v>0</v>
      </c>
      <c r="G10" s="306">
        <f>F10*'Inputs '!D46*$C$2</f>
        <v>0</v>
      </c>
      <c r="H10" s="316">
        <v>0</v>
      </c>
      <c r="I10" s="306">
        <f>H10*'Inputs '!E46*$I$2</f>
        <v>0</v>
      </c>
      <c r="J10" s="316">
        <v>0</v>
      </c>
      <c r="K10" s="306">
        <f>J10*'Inputs '!F46*$K$2</f>
        <v>0</v>
      </c>
      <c r="L10" s="316">
        <v>0</v>
      </c>
      <c r="M10" s="306">
        <f>L10*'Inputs '!G46*M$2</f>
        <v>0</v>
      </c>
      <c r="N10" s="316">
        <v>0</v>
      </c>
      <c r="O10" s="306">
        <f>N10*'Inputs '!H46*$O$2</f>
        <v>0</v>
      </c>
      <c r="P10" s="316"/>
      <c r="Q10" s="306">
        <f>P10*'Inputs '!I46*$Q$2</f>
        <v>0</v>
      </c>
      <c r="R10" s="316"/>
      <c r="S10" s="306">
        <f>R10*'Inputs '!J46*$S$2</f>
        <v>0</v>
      </c>
      <c r="T10" s="316"/>
      <c r="U10" s="306">
        <f>T10*'Inputs '!K46*$U$2</f>
        <v>0</v>
      </c>
      <c r="V10" s="316"/>
      <c r="W10" s="306">
        <f>V10*'Inputs '!L46*$W$2</f>
        <v>0</v>
      </c>
      <c r="X10" s="316"/>
      <c r="Y10" s="306">
        <f>X10*'Inputs '!M46*$Y$2</f>
        <v>0</v>
      </c>
      <c r="Z10" s="308">
        <f t="shared" si="0"/>
        <v>0</v>
      </c>
      <c r="AA10" s="315"/>
    </row>
    <row r="11" spans="1:27" x14ac:dyDescent="0.3">
      <c r="A11" s="322" t="str">
        <f>'Inputs '!A47</f>
        <v>-</v>
      </c>
      <c r="B11" s="316"/>
      <c r="C11" s="306">
        <f>B11*'Inputs '!B47*$C$2</f>
        <v>0</v>
      </c>
      <c r="D11" s="316"/>
      <c r="E11" s="306">
        <f>D11*'Inputs '!C47*$E$2</f>
        <v>0</v>
      </c>
      <c r="F11" s="316"/>
      <c r="G11" s="306">
        <f>F11*'Inputs '!D47*$C$2</f>
        <v>0</v>
      </c>
      <c r="H11" s="316"/>
      <c r="I11" s="306">
        <f>H11*'Inputs '!E47*$I$2</f>
        <v>0</v>
      </c>
      <c r="J11" s="316"/>
      <c r="K11" s="306">
        <f>J11*'Inputs '!F47*$K$2</f>
        <v>0</v>
      </c>
      <c r="L11" s="316"/>
      <c r="M11" s="306">
        <f>L11*'Inputs '!G47*M$2</f>
        <v>0</v>
      </c>
      <c r="N11" s="316"/>
      <c r="O11" s="306">
        <f>N11*'Inputs '!H47*$O$2</f>
        <v>0</v>
      </c>
      <c r="P11" s="316"/>
      <c r="Q11" s="306">
        <f>P11*'Inputs '!I47*$Q$2</f>
        <v>0</v>
      </c>
      <c r="R11" s="316"/>
      <c r="S11" s="306">
        <f>R11*'Inputs '!J47*$S$2</f>
        <v>0</v>
      </c>
      <c r="T11" s="316"/>
      <c r="U11" s="306">
        <f>T11*'Inputs '!K47*$U$2</f>
        <v>0</v>
      </c>
      <c r="V11" s="316"/>
      <c r="W11" s="306">
        <f>V11*'Inputs '!L47*$W$2</f>
        <v>0</v>
      </c>
      <c r="X11" s="316"/>
      <c r="Y11" s="306">
        <f>X11*'Inputs '!M47*$Y$2</f>
        <v>0</v>
      </c>
      <c r="Z11" s="308">
        <f t="shared" si="0"/>
        <v>0</v>
      </c>
      <c r="AA11" s="315"/>
    </row>
    <row r="12" spans="1:27" x14ac:dyDescent="0.3">
      <c r="A12" s="322" t="str">
        <f>'Inputs '!A48</f>
        <v>-</v>
      </c>
      <c r="B12" s="316"/>
      <c r="C12" s="306">
        <f>B12*'Inputs '!B48*$C$2</f>
        <v>0</v>
      </c>
      <c r="D12" s="316"/>
      <c r="E12" s="306">
        <f>D12*'Inputs '!C48*$E$2</f>
        <v>0</v>
      </c>
      <c r="F12" s="316"/>
      <c r="G12" s="306">
        <f>F12*'Inputs '!D48*$C$2</f>
        <v>0</v>
      </c>
      <c r="H12" s="316"/>
      <c r="I12" s="306">
        <f>H12*'Inputs '!E48*$I$2</f>
        <v>0</v>
      </c>
      <c r="J12" s="316"/>
      <c r="K12" s="306">
        <f>J12*'Inputs '!F48*$K$2</f>
        <v>0</v>
      </c>
      <c r="L12" s="316"/>
      <c r="M12" s="306">
        <f>L12*'Inputs '!G48*M$2</f>
        <v>0</v>
      </c>
      <c r="N12" s="316"/>
      <c r="O12" s="306">
        <f>N12*'Inputs '!H48*$O$2</f>
        <v>0</v>
      </c>
      <c r="P12" s="316"/>
      <c r="Q12" s="306">
        <f>P12*'Inputs '!I48*$Q$2</f>
        <v>0</v>
      </c>
      <c r="R12" s="316"/>
      <c r="S12" s="306">
        <f>R12*'Inputs '!J48*$S$2</f>
        <v>0</v>
      </c>
      <c r="T12" s="316"/>
      <c r="U12" s="306">
        <f>T12*'Inputs '!K48*$U$2</f>
        <v>0</v>
      </c>
      <c r="V12" s="316"/>
      <c r="W12" s="306">
        <f>V12*'Inputs '!L48*$W$2</f>
        <v>0</v>
      </c>
      <c r="X12" s="316"/>
      <c r="Y12" s="306">
        <f>X12*'Inputs '!M48*$Y$2</f>
        <v>0</v>
      </c>
      <c r="Z12" s="308">
        <f t="shared" si="0"/>
        <v>0</v>
      </c>
      <c r="AA12" s="315"/>
    </row>
    <row r="13" spans="1:27" x14ac:dyDescent="0.3">
      <c r="A13" s="322" t="str">
        <f>'Inputs '!A49</f>
        <v>-</v>
      </c>
      <c r="B13" s="316"/>
      <c r="C13" s="306">
        <f>B13*'Inputs '!B49*$C$2</f>
        <v>0</v>
      </c>
      <c r="D13" s="316"/>
      <c r="E13" s="306">
        <f>D13*'Inputs '!C49*$E$2</f>
        <v>0</v>
      </c>
      <c r="F13" s="316"/>
      <c r="G13" s="306">
        <f>F13*'Inputs '!D49*$C$2</f>
        <v>0</v>
      </c>
      <c r="H13" s="316"/>
      <c r="I13" s="306">
        <f>H13*'Inputs '!E49*$I$2</f>
        <v>0</v>
      </c>
      <c r="J13" s="316"/>
      <c r="K13" s="306">
        <f>J13*'Inputs '!F49*$K$2</f>
        <v>0</v>
      </c>
      <c r="L13" s="316"/>
      <c r="M13" s="306">
        <f>L13*'Inputs '!G49*M$2</f>
        <v>0</v>
      </c>
      <c r="N13" s="316"/>
      <c r="O13" s="306">
        <f>N13*'Inputs '!H49*$O$2</f>
        <v>0</v>
      </c>
      <c r="P13" s="316"/>
      <c r="Q13" s="306">
        <f>P13*'Inputs '!I49*$Q$2</f>
        <v>0</v>
      </c>
      <c r="R13" s="316"/>
      <c r="S13" s="306">
        <f>R13*'Inputs '!J49*$S$2</f>
        <v>0</v>
      </c>
      <c r="T13" s="316"/>
      <c r="U13" s="306">
        <f>T13*'Inputs '!K49*$U$2</f>
        <v>0</v>
      </c>
      <c r="V13" s="316"/>
      <c r="W13" s="306">
        <f>V13*'Inputs '!L49*$W$2</f>
        <v>0</v>
      </c>
      <c r="X13" s="316"/>
      <c r="Y13" s="306">
        <f>X13*'Inputs '!M49*$Y$2</f>
        <v>0</v>
      </c>
      <c r="Z13" s="308">
        <f t="shared" si="0"/>
        <v>0</v>
      </c>
      <c r="AA13" s="315"/>
    </row>
    <row r="14" spans="1:27" x14ac:dyDescent="0.3">
      <c r="A14" s="322" t="str">
        <f>'Inputs '!A50</f>
        <v>-</v>
      </c>
      <c r="B14" s="316"/>
      <c r="C14" s="306">
        <f>B14*'Inputs '!B50*$C$2</f>
        <v>0</v>
      </c>
      <c r="D14" s="316"/>
      <c r="E14" s="306">
        <f>D14*'Inputs '!C50*$E$2</f>
        <v>0</v>
      </c>
      <c r="F14" s="316"/>
      <c r="G14" s="306">
        <f>F14*'Inputs '!D50*$C$2</f>
        <v>0</v>
      </c>
      <c r="H14" s="316"/>
      <c r="I14" s="306">
        <f>H14*'Inputs '!E50*$I$2</f>
        <v>0</v>
      </c>
      <c r="J14" s="316"/>
      <c r="K14" s="306">
        <f>J14*'Inputs '!F50*$K$2</f>
        <v>0</v>
      </c>
      <c r="L14" s="316"/>
      <c r="M14" s="306">
        <f>L14*'Inputs '!G50*M$2</f>
        <v>0</v>
      </c>
      <c r="N14" s="316"/>
      <c r="O14" s="306">
        <f>N14*'Inputs '!H50*$O$2</f>
        <v>0</v>
      </c>
      <c r="P14" s="316"/>
      <c r="Q14" s="306">
        <f>P14*'Inputs '!I50*$Q$2</f>
        <v>0</v>
      </c>
      <c r="R14" s="316"/>
      <c r="S14" s="306">
        <f>R14*'Inputs '!J50*$S$2</f>
        <v>0</v>
      </c>
      <c r="T14" s="316"/>
      <c r="U14" s="306">
        <f>T14*'Inputs '!K50*$U$2</f>
        <v>0</v>
      </c>
      <c r="V14" s="316"/>
      <c r="W14" s="306">
        <f>V14*'Inputs '!L50*$W$2</f>
        <v>0</v>
      </c>
      <c r="X14" s="316"/>
      <c r="Y14" s="306">
        <f>X14*'Inputs '!M50*$Y$2</f>
        <v>0</v>
      </c>
      <c r="Z14" s="308">
        <f t="shared" si="0"/>
        <v>0</v>
      </c>
      <c r="AA14" s="315"/>
    </row>
    <row r="15" spans="1:27" x14ac:dyDescent="0.3">
      <c r="A15" s="322" t="str">
        <f>'Inputs '!A51</f>
        <v>-</v>
      </c>
      <c r="B15" s="316"/>
      <c r="C15" s="306">
        <f>B15*'Inputs '!B51*$C$2</f>
        <v>0</v>
      </c>
      <c r="D15" s="316"/>
      <c r="E15" s="306">
        <f>D15*'Inputs '!C51*$E$2</f>
        <v>0</v>
      </c>
      <c r="F15" s="316"/>
      <c r="G15" s="306">
        <f>F15*'Inputs '!D51*$C$2</f>
        <v>0</v>
      </c>
      <c r="H15" s="316"/>
      <c r="I15" s="306">
        <f>H15*'Inputs '!E51*$I$2</f>
        <v>0</v>
      </c>
      <c r="J15" s="316"/>
      <c r="K15" s="306">
        <f>J15*'Inputs '!F51*$K$2</f>
        <v>0</v>
      </c>
      <c r="L15" s="316"/>
      <c r="M15" s="306">
        <f>L15*'Inputs '!G51*M$2</f>
        <v>0</v>
      </c>
      <c r="N15" s="316"/>
      <c r="O15" s="306">
        <f>N15*'Inputs '!H51*$O$2</f>
        <v>0</v>
      </c>
      <c r="P15" s="316"/>
      <c r="Q15" s="306">
        <f>P15*'Inputs '!I51*$Q$2</f>
        <v>0</v>
      </c>
      <c r="R15" s="316"/>
      <c r="S15" s="306">
        <f>R15*'Inputs '!J51*$S$2</f>
        <v>0</v>
      </c>
      <c r="T15" s="316"/>
      <c r="U15" s="306">
        <f>T15*'Inputs '!K51*$U$2</f>
        <v>0</v>
      </c>
      <c r="V15" s="316"/>
      <c r="W15" s="306">
        <f>V15*'Inputs '!L51*$W$2</f>
        <v>0</v>
      </c>
      <c r="X15" s="316"/>
      <c r="Y15" s="306">
        <f>X15*'Inputs '!M51*$Y$2</f>
        <v>0</v>
      </c>
      <c r="Z15" s="308">
        <f t="shared" si="0"/>
        <v>0</v>
      </c>
      <c r="AA15" s="315"/>
    </row>
    <row r="16" spans="1:27" x14ac:dyDescent="0.3">
      <c r="A16" s="322" t="str">
        <f>'Inputs '!A52</f>
        <v>-</v>
      </c>
      <c r="B16" s="316"/>
      <c r="C16" s="306">
        <f>B16*'Inputs '!B52*$C$2</f>
        <v>0</v>
      </c>
      <c r="D16" s="316"/>
      <c r="E16" s="306">
        <f>D16*'Inputs '!C52*$E$2</f>
        <v>0</v>
      </c>
      <c r="F16" s="316"/>
      <c r="G16" s="306">
        <f>F16*'Inputs '!D52*$C$2</f>
        <v>0</v>
      </c>
      <c r="H16" s="316"/>
      <c r="I16" s="306">
        <f>H16*'Inputs '!E52*$I$2</f>
        <v>0</v>
      </c>
      <c r="J16" s="316"/>
      <c r="K16" s="306">
        <f>J16*'Inputs '!F52*$K$2</f>
        <v>0</v>
      </c>
      <c r="L16" s="316"/>
      <c r="M16" s="306">
        <f>L16*'Inputs '!G52*M$2</f>
        <v>0</v>
      </c>
      <c r="N16" s="316"/>
      <c r="O16" s="306">
        <f>N16*'Inputs '!H52*$O$2</f>
        <v>0</v>
      </c>
      <c r="P16" s="316"/>
      <c r="Q16" s="306">
        <f>P16*'Inputs '!I52*$Q$2</f>
        <v>0</v>
      </c>
      <c r="R16" s="316"/>
      <c r="S16" s="306">
        <f>R16*'Inputs '!J52*$S$2</f>
        <v>0</v>
      </c>
      <c r="T16" s="316"/>
      <c r="U16" s="306">
        <f>T16*'Inputs '!K52*$U$2</f>
        <v>0</v>
      </c>
      <c r="V16" s="316"/>
      <c r="W16" s="306">
        <f>V16*'Inputs '!L52*$W$2</f>
        <v>0</v>
      </c>
      <c r="X16" s="316"/>
      <c r="Y16" s="306">
        <f>X16*'Inputs '!M52*$Y$2</f>
        <v>0</v>
      </c>
      <c r="Z16" s="308">
        <f t="shared" si="0"/>
        <v>0</v>
      </c>
      <c r="AA16" s="315"/>
    </row>
    <row r="17" spans="1:27" x14ac:dyDescent="0.3">
      <c r="A17" s="322" t="str">
        <f>'Inputs '!A53</f>
        <v>-</v>
      </c>
      <c r="B17" s="316"/>
      <c r="C17" s="306">
        <f>B17*'Inputs '!B53*$C$2</f>
        <v>0</v>
      </c>
      <c r="D17" s="316"/>
      <c r="E17" s="306">
        <f>D17*'Inputs '!C53*$E$2</f>
        <v>0</v>
      </c>
      <c r="F17" s="316"/>
      <c r="G17" s="306">
        <f>F17*'Inputs '!D53*$C$2</f>
        <v>0</v>
      </c>
      <c r="H17" s="316"/>
      <c r="I17" s="306">
        <f>H17*'Inputs '!E53*$I$2</f>
        <v>0</v>
      </c>
      <c r="J17" s="316"/>
      <c r="K17" s="306">
        <f>J17*'Inputs '!F53*$K$2</f>
        <v>0</v>
      </c>
      <c r="L17" s="316"/>
      <c r="M17" s="306">
        <f>L17*'Inputs '!G53*M$2</f>
        <v>0</v>
      </c>
      <c r="N17" s="316"/>
      <c r="O17" s="306">
        <f>N17*'Inputs '!H53*$O$2</f>
        <v>0</v>
      </c>
      <c r="P17" s="316"/>
      <c r="Q17" s="306">
        <f>P17*'Inputs '!I53*$Q$2</f>
        <v>0</v>
      </c>
      <c r="R17" s="316"/>
      <c r="S17" s="306">
        <f>R17*'Inputs '!J53*$S$2</f>
        <v>0</v>
      </c>
      <c r="T17" s="316"/>
      <c r="U17" s="306">
        <f>T17*'Inputs '!K53*$U$2</f>
        <v>0</v>
      </c>
      <c r="V17" s="316"/>
      <c r="W17" s="306">
        <f>V17*'Inputs '!L53*$W$2</f>
        <v>0</v>
      </c>
      <c r="X17" s="316"/>
      <c r="Y17" s="306">
        <f>X17*'Inputs '!M53*$Y$2</f>
        <v>0</v>
      </c>
      <c r="Z17" s="308">
        <f t="shared" si="0"/>
        <v>0</v>
      </c>
      <c r="AA17" s="315"/>
    </row>
    <row r="18" spans="1:27" x14ac:dyDescent="0.3">
      <c r="A18" s="322" t="str">
        <f>'Inputs '!A54</f>
        <v>-</v>
      </c>
      <c r="B18" s="316"/>
      <c r="C18" s="306">
        <f>B18*'Inputs '!B54*$C$2</f>
        <v>0</v>
      </c>
      <c r="D18" s="316"/>
      <c r="E18" s="306">
        <f>D18*'Inputs '!C54*$E$2</f>
        <v>0</v>
      </c>
      <c r="F18" s="316"/>
      <c r="G18" s="306">
        <f>F18*'Inputs '!D54*$C$2</f>
        <v>0</v>
      </c>
      <c r="H18" s="316"/>
      <c r="I18" s="306">
        <f>H18*'Inputs '!E54*$I$2</f>
        <v>0</v>
      </c>
      <c r="J18" s="316"/>
      <c r="K18" s="306">
        <f>J18*'Inputs '!F54*$K$2</f>
        <v>0</v>
      </c>
      <c r="L18" s="316"/>
      <c r="M18" s="306">
        <f>L18*'Inputs '!G54*M$2</f>
        <v>0</v>
      </c>
      <c r="N18" s="316"/>
      <c r="O18" s="306">
        <f>N18*'Inputs '!H54*$O$2</f>
        <v>0</v>
      </c>
      <c r="P18" s="316"/>
      <c r="Q18" s="306">
        <f>P18*'Inputs '!I54*$Q$2</f>
        <v>0</v>
      </c>
      <c r="R18" s="316"/>
      <c r="S18" s="306">
        <f>R18*'Inputs '!J54*$S$2</f>
        <v>0</v>
      </c>
      <c r="T18" s="316"/>
      <c r="U18" s="306">
        <f>T18*'Inputs '!K54*$U$2</f>
        <v>0</v>
      </c>
      <c r="V18" s="316"/>
      <c r="W18" s="306">
        <f>V18*'Inputs '!L54*$W$2</f>
        <v>0</v>
      </c>
      <c r="X18" s="316"/>
      <c r="Y18" s="306">
        <f>X18*'Inputs '!M54*$Y$2</f>
        <v>0</v>
      </c>
      <c r="Z18" s="308">
        <f t="shared" si="0"/>
        <v>0</v>
      </c>
      <c r="AA18" s="315"/>
    </row>
    <row r="19" spans="1:27" x14ac:dyDescent="0.3">
      <c r="A19" s="322" t="str">
        <f>'Inputs '!A55</f>
        <v>-</v>
      </c>
      <c r="B19" s="316"/>
      <c r="C19" s="306">
        <f>B19*'Inputs '!B55*$C$2</f>
        <v>0</v>
      </c>
      <c r="D19" s="316"/>
      <c r="E19" s="306">
        <f>D19*'Inputs '!C55*$E$2</f>
        <v>0</v>
      </c>
      <c r="F19" s="316"/>
      <c r="G19" s="306">
        <f>F19*'Inputs '!D55*$C$2</f>
        <v>0</v>
      </c>
      <c r="H19" s="316"/>
      <c r="I19" s="306">
        <f>H19*'Inputs '!E55*$I$2</f>
        <v>0</v>
      </c>
      <c r="J19" s="316"/>
      <c r="K19" s="306">
        <f>J19*'Inputs '!F55*$K$2</f>
        <v>0</v>
      </c>
      <c r="L19" s="316"/>
      <c r="M19" s="306">
        <f>L19*'Inputs '!G55*M$2</f>
        <v>0</v>
      </c>
      <c r="N19" s="316"/>
      <c r="O19" s="306">
        <f>N19*'Inputs '!H55*$O$2</f>
        <v>0</v>
      </c>
      <c r="P19" s="316"/>
      <c r="Q19" s="306">
        <f>P19*'Inputs '!I55*$Q$2</f>
        <v>0</v>
      </c>
      <c r="R19" s="316"/>
      <c r="S19" s="306">
        <f>R19*'Inputs '!J55*$S$2</f>
        <v>0</v>
      </c>
      <c r="T19" s="316"/>
      <c r="U19" s="306">
        <f>T19*'Inputs '!K55*$U$2</f>
        <v>0</v>
      </c>
      <c r="V19" s="316"/>
      <c r="W19" s="306">
        <f>V19*'Inputs '!L55*$W$2</f>
        <v>0</v>
      </c>
      <c r="X19" s="316"/>
      <c r="Y19" s="306">
        <f>X19*'Inputs '!M55*$Y$2</f>
        <v>0</v>
      </c>
      <c r="Z19" s="308">
        <f t="shared" si="0"/>
        <v>0</v>
      </c>
      <c r="AA19" s="315"/>
    </row>
    <row r="20" spans="1:27" ht="15" thickBot="1" x14ac:dyDescent="0.35">
      <c r="A20" s="323" t="str">
        <f>'Inputs '!A56</f>
        <v>-</v>
      </c>
      <c r="B20" s="317"/>
      <c r="C20" s="306">
        <f>B20*'Inputs '!B56*$C$2</f>
        <v>0</v>
      </c>
      <c r="D20" s="317"/>
      <c r="E20" s="307">
        <f>D20*'Inputs '!C56*$E$2</f>
        <v>0</v>
      </c>
      <c r="F20" s="317"/>
      <c r="G20" s="307">
        <f>F20*'Inputs '!D56*$C$2</f>
        <v>0</v>
      </c>
      <c r="H20" s="317"/>
      <c r="I20" s="307">
        <f>H20*'Inputs '!E56*$I$2</f>
        <v>0</v>
      </c>
      <c r="J20" s="317"/>
      <c r="K20" s="307">
        <f>J20*'Inputs '!F56*$K$2</f>
        <v>0</v>
      </c>
      <c r="L20" s="317"/>
      <c r="M20" s="307">
        <f>L20*'Inputs '!G56*M$2</f>
        <v>0</v>
      </c>
      <c r="N20" s="317"/>
      <c r="O20" s="307">
        <f>N20*'Inputs '!H56*$O$2</f>
        <v>0</v>
      </c>
      <c r="P20" s="317"/>
      <c r="Q20" s="307">
        <f>P20*'Inputs '!I56*$Q$2</f>
        <v>0</v>
      </c>
      <c r="R20" s="317"/>
      <c r="S20" s="307">
        <f>R20*'Inputs '!J56*$S$2</f>
        <v>0</v>
      </c>
      <c r="T20" s="317"/>
      <c r="U20" s="307">
        <f>T20*'Inputs '!K56*$U$2</f>
        <v>0</v>
      </c>
      <c r="V20" s="317"/>
      <c r="W20" s="307">
        <f>V20*'Inputs '!L56*$W$2</f>
        <v>0</v>
      </c>
      <c r="X20" s="317"/>
      <c r="Y20" s="307">
        <f>X20*'Inputs '!M56*$Y$2</f>
        <v>0</v>
      </c>
      <c r="Z20" s="309">
        <f t="shared" si="0"/>
        <v>0</v>
      </c>
      <c r="AA20" s="315"/>
    </row>
    <row r="21" spans="1:27" ht="15" thickBot="1" x14ac:dyDescent="0.35">
      <c r="A21" s="320"/>
      <c r="B21" s="318">
        <f t="shared" ref="B21:Y21" si="1">SUM(B4:B20)</f>
        <v>5</v>
      </c>
      <c r="C21" s="319">
        <f>SUM(C4:C20)</f>
        <v>806</v>
      </c>
      <c r="D21" s="318">
        <f t="shared" si="1"/>
        <v>5</v>
      </c>
      <c r="E21" s="319">
        <f t="shared" si="1"/>
        <v>744</v>
      </c>
      <c r="F21" s="318">
        <f t="shared" si="1"/>
        <v>5</v>
      </c>
      <c r="G21" s="319">
        <f t="shared" si="1"/>
        <v>806</v>
      </c>
      <c r="H21" s="318">
        <f t="shared" si="1"/>
        <v>5</v>
      </c>
      <c r="I21" s="319">
        <f t="shared" si="1"/>
        <v>775</v>
      </c>
      <c r="J21" s="318">
        <f t="shared" si="1"/>
        <v>5</v>
      </c>
      <c r="K21" s="319">
        <f t="shared" si="1"/>
        <v>806</v>
      </c>
      <c r="L21" s="318">
        <f t="shared" si="1"/>
        <v>5</v>
      </c>
      <c r="M21" s="319">
        <f t="shared" si="1"/>
        <v>775</v>
      </c>
      <c r="N21" s="318">
        <f t="shared" si="1"/>
        <v>5</v>
      </c>
      <c r="O21" s="319">
        <f t="shared" si="1"/>
        <v>806</v>
      </c>
      <c r="P21" s="318">
        <f t="shared" si="1"/>
        <v>5</v>
      </c>
      <c r="Q21" s="319">
        <f t="shared" si="1"/>
        <v>806</v>
      </c>
      <c r="R21" s="318">
        <f t="shared" si="1"/>
        <v>5</v>
      </c>
      <c r="S21" s="319">
        <f t="shared" si="1"/>
        <v>775</v>
      </c>
      <c r="T21" s="318">
        <f t="shared" si="1"/>
        <v>5</v>
      </c>
      <c r="U21" s="319">
        <f t="shared" si="1"/>
        <v>806</v>
      </c>
      <c r="V21" s="318">
        <f t="shared" si="1"/>
        <v>5</v>
      </c>
      <c r="W21" s="319">
        <f t="shared" si="1"/>
        <v>775</v>
      </c>
      <c r="X21" s="318">
        <f t="shared" si="1"/>
        <v>5</v>
      </c>
      <c r="Y21" s="319">
        <f t="shared" si="1"/>
        <v>1301</v>
      </c>
      <c r="Z21" s="311">
        <f t="shared" si="0"/>
        <v>9981</v>
      </c>
      <c r="AA21" s="315"/>
    </row>
    <row r="35" spans="12:14" x14ac:dyDescent="0.3">
      <c r="L35" s="555">
        <v>46174</v>
      </c>
      <c r="M35" s="310">
        <v>283</v>
      </c>
      <c r="N35" s="555">
        <f>L35+M35</f>
        <v>46457</v>
      </c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72AC-658F-4F9B-AD4E-8B9036F889EF}">
  <dimension ref="A1:U56"/>
  <sheetViews>
    <sheetView workbookViewId="0">
      <selection activeCell="G15" sqref="G15"/>
    </sheetView>
  </sheetViews>
  <sheetFormatPr defaultRowHeight="14.4" x14ac:dyDescent="0.3"/>
  <cols>
    <col min="1" max="1" width="24.5546875" bestFit="1" customWidth="1"/>
  </cols>
  <sheetData>
    <row r="1" spans="1:18" ht="15" thickBot="1" x14ac:dyDescent="0.35"/>
    <row r="2" spans="1:18" ht="21.6" thickBot="1" x14ac:dyDescent="0.45">
      <c r="A2" s="523" t="s">
        <v>697</v>
      </c>
      <c r="B2" s="524"/>
      <c r="C2" s="524"/>
      <c r="D2" s="524"/>
      <c r="E2" s="524"/>
      <c r="F2" s="524"/>
      <c r="G2" s="524"/>
      <c r="H2" s="524"/>
      <c r="I2" s="524"/>
      <c r="J2" s="524"/>
      <c r="K2" s="524"/>
      <c r="L2" s="524"/>
      <c r="M2" s="525"/>
    </row>
    <row r="3" spans="1:18" ht="15" thickBot="1" x14ac:dyDescent="0.35">
      <c r="A3" s="500"/>
      <c r="B3" s="526" t="s">
        <v>698</v>
      </c>
      <c r="C3" s="527" t="s">
        <v>0</v>
      </c>
      <c r="D3" s="527" t="s">
        <v>1</v>
      </c>
      <c r="E3" s="527" t="s">
        <v>2</v>
      </c>
      <c r="F3" s="527" t="s">
        <v>3</v>
      </c>
      <c r="G3" s="527" t="s">
        <v>4</v>
      </c>
      <c r="H3" s="527" t="s">
        <v>5</v>
      </c>
      <c r="I3" s="527" t="s">
        <v>6</v>
      </c>
      <c r="J3" s="527" t="s">
        <v>7</v>
      </c>
      <c r="K3" s="527" t="s">
        <v>8</v>
      </c>
      <c r="L3" s="527" t="s">
        <v>9</v>
      </c>
      <c r="M3" s="528" t="s">
        <v>10</v>
      </c>
    </row>
    <row r="4" spans="1:18" x14ac:dyDescent="0.3">
      <c r="A4" s="529" t="s">
        <v>699</v>
      </c>
      <c r="B4" s="435">
        <v>0.7</v>
      </c>
      <c r="C4" s="435">
        <v>0.7</v>
      </c>
      <c r="D4" s="435">
        <v>0.7</v>
      </c>
      <c r="E4" s="435">
        <v>0.7</v>
      </c>
      <c r="F4" s="435">
        <v>0.7</v>
      </c>
      <c r="G4" s="435">
        <v>0.7</v>
      </c>
      <c r="H4" s="435">
        <v>0.7</v>
      </c>
      <c r="I4" s="435">
        <v>0.7</v>
      </c>
      <c r="J4" s="435">
        <v>0.7</v>
      </c>
      <c r="K4" s="435">
        <v>0.7</v>
      </c>
      <c r="L4" s="435">
        <v>0.7</v>
      </c>
      <c r="M4" s="435">
        <v>0.7</v>
      </c>
    </row>
    <row r="5" spans="1:18" x14ac:dyDescent="0.3">
      <c r="A5" s="530" t="s">
        <v>11</v>
      </c>
      <c r="B5" s="433">
        <v>0.47</v>
      </c>
      <c r="C5" s="433">
        <v>0.47</v>
      </c>
      <c r="D5" s="433">
        <v>0.47</v>
      </c>
      <c r="E5" s="433">
        <v>0.47</v>
      </c>
      <c r="F5" s="433">
        <v>0.47</v>
      </c>
      <c r="G5" s="433">
        <v>0.47</v>
      </c>
      <c r="H5" s="433">
        <v>0.47</v>
      </c>
      <c r="I5" s="433">
        <v>0.47</v>
      </c>
      <c r="J5" s="433">
        <v>0.47</v>
      </c>
      <c r="K5" s="433">
        <v>0.47</v>
      </c>
      <c r="L5" s="433">
        <v>0.47</v>
      </c>
      <c r="M5" s="433">
        <v>0.47</v>
      </c>
    </row>
    <row r="6" spans="1:18" x14ac:dyDescent="0.3">
      <c r="A6" s="530" t="s">
        <v>12</v>
      </c>
      <c r="B6" s="533">
        <v>0.39</v>
      </c>
      <c r="C6" s="533">
        <v>0.39</v>
      </c>
      <c r="D6" s="533">
        <v>0.39</v>
      </c>
      <c r="E6" s="533">
        <v>0.39</v>
      </c>
      <c r="F6" s="533">
        <v>0.39</v>
      </c>
      <c r="G6" s="533">
        <v>0.39</v>
      </c>
      <c r="H6" s="533">
        <v>0.39</v>
      </c>
      <c r="I6" s="533">
        <v>0.39</v>
      </c>
      <c r="J6" s="533">
        <v>0.39</v>
      </c>
      <c r="K6" s="533">
        <v>0.39</v>
      </c>
      <c r="L6" s="533">
        <v>0.39</v>
      </c>
      <c r="M6" s="533">
        <v>0.39</v>
      </c>
    </row>
    <row r="7" spans="1:18" x14ac:dyDescent="0.3">
      <c r="A7" s="530" t="s">
        <v>13</v>
      </c>
      <c r="B7" s="433">
        <v>0.36</v>
      </c>
      <c r="C7" s="433">
        <v>0.36</v>
      </c>
      <c r="D7" s="433">
        <v>0.36</v>
      </c>
      <c r="E7" s="433">
        <v>0.36</v>
      </c>
      <c r="F7" s="433">
        <v>0.36</v>
      </c>
      <c r="G7" s="433">
        <v>0.36</v>
      </c>
      <c r="H7" s="433">
        <v>0.36</v>
      </c>
      <c r="I7" s="433">
        <v>0.36</v>
      </c>
      <c r="J7" s="433">
        <v>0.36</v>
      </c>
      <c r="K7" s="433">
        <v>0.36</v>
      </c>
      <c r="L7" s="433">
        <v>0.36</v>
      </c>
      <c r="M7" s="433">
        <v>0.36</v>
      </c>
    </row>
    <row r="8" spans="1:18" x14ac:dyDescent="0.3">
      <c r="A8" s="530" t="s">
        <v>14</v>
      </c>
      <c r="B8" s="433">
        <v>0.76</v>
      </c>
      <c r="C8" s="531">
        <v>0.76</v>
      </c>
      <c r="D8" s="531">
        <v>0.76</v>
      </c>
      <c r="E8" s="531">
        <v>0.76</v>
      </c>
      <c r="F8" s="531">
        <v>0.76</v>
      </c>
      <c r="G8" s="531">
        <v>0.57999999999999996</v>
      </c>
      <c r="H8" s="531">
        <v>0.57999999999999996</v>
      </c>
      <c r="I8" s="531">
        <v>0.57999999999999996</v>
      </c>
      <c r="J8" s="531">
        <v>0.57999999999999996</v>
      </c>
      <c r="K8" s="531">
        <v>0.57999999999999996</v>
      </c>
      <c r="L8" s="531">
        <v>0.57999999999999996</v>
      </c>
      <c r="M8" s="532">
        <v>0.57999999999999996</v>
      </c>
    </row>
    <row r="9" spans="1:18" x14ac:dyDescent="0.3">
      <c r="A9" s="530" t="s">
        <v>15</v>
      </c>
      <c r="B9" s="433">
        <v>0.2</v>
      </c>
      <c r="C9" s="433">
        <v>0.2</v>
      </c>
      <c r="D9" s="433">
        <v>0.2</v>
      </c>
      <c r="E9" s="433">
        <v>0.2</v>
      </c>
      <c r="F9" s="433">
        <v>0.2</v>
      </c>
      <c r="G9" s="433">
        <v>0.2</v>
      </c>
      <c r="H9" s="433">
        <v>0.2</v>
      </c>
      <c r="I9" s="433">
        <v>0.2</v>
      </c>
      <c r="J9" s="433">
        <v>0.2</v>
      </c>
      <c r="K9" s="433">
        <v>0.2</v>
      </c>
      <c r="L9" s="433">
        <v>0.2</v>
      </c>
      <c r="M9" s="433">
        <v>0.2</v>
      </c>
    </row>
    <row r="10" spans="1:18" x14ac:dyDescent="0.3">
      <c r="A10" s="530" t="s">
        <v>700</v>
      </c>
      <c r="B10" s="433">
        <v>0.05</v>
      </c>
      <c r="C10" s="433">
        <v>0.05</v>
      </c>
      <c r="D10" s="433">
        <v>0.05</v>
      </c>
      <c r="E10" s="433">
        <v>0.05</v>
      </c>
      <c r="F10" s="433">
        <v>0.05</v>
      </c>
      <c r="G10" s="433">
        <v>0.05</v>
      </c>
      <c r="H10" s="433">
        <v>0.05</v>
      </c>
      <c r="I10" s="433">
        <v>0.05</v>
      </c>
      <c r="J10" s="433">
        <v>0.05</v>
      </c>
      <c r="K10" s="433">
        <v>0.05</v>
      </c>
      <c r="L10" s="433">
        <v>0.05</v>
      </c>
      <c r="M10" s="433">
        <v>0.05</v>
      </c>
      <c r="R10">
        <v>3</v>
      </c>
    </row>
    <row r="11" spans="1:18" x14ac:dyDescent="0.3">
      <c r="A11" s="530" t="s">
        <v>701</v>
      </c>
      <c r="B11" s="433"/>
      <c r="C11" s="531"/>
      <c r="D11" s="531"/>
      <c r="E11" s="531"/>
      <c r="F11" s="531"/>
      <c r="G11" s="531"/>
      <c r="H11" s="531">
        <v>0.2</v>
      </c>
      <c r="I11" s="531">
        <v>0.2</v>
      </c>
      <c r="J11" s="531">
        <v>0.2</v>
      </c>
      <c r="K11" s="531">
        <v>0.2</v>
      </c>
      <c r="L11" s="531">
        <v>0.2</v>
      </c>
      <c r="M11" s="532">
        <v>0.2</v>
      </c>
    </row>
    <row r="12" spans="1:18" x14ac:dyDescent="0.3">
      <c r="A12" s="530" t="s">
        <v>702</v>
      </c>
      <c r="B12" s="433"/>
      <c r="C12" s="531"/>
      <c r="D12" s="531"/>
      <c r="E12" s="531"/>
      <c r="F12" s="531"/>
      <c r="G12" s="531"/>
      <c r="H12" s="531"/>
      <c r="I12" s="531"/>
      <c r="J12" s="531"/>
      <c r="K12" s="531"/>
      <c r="L12" s="531"/>
      <c r="M12" s="532"/>
    </row>
    <row r="13" spans="1:18" x14ac:dyDescent="0.3">
      <c r="A13" s="530" t="s">
        <v>703</v>
      </c>
      <c r="B13" s="433"/>
      <c r="C13" s="531"/>
      <c r="D13" s="531"/>
      <c r="E13" s="531"/>
      <c r="F13" s="531"/>
      <c r="G13" s="531"/>
      <c r="H13" s="531"/>
      <c r="I13" s="531"/>
      <c r="J13" s="531"/>
      <c r="K13" s="531"/>
      <c r="L13" s="531"/>
      <c r="M13" s="532"/>
    </row>
    <row r="14" spans="1:18" x14ac:dyDescent="0.3">
      <c r="A14" s="530" t="s">
        <v>704</v>
      </c>
      <c r="B14" s="433"/>
      <c r="C14" s="531"/>
      <c r="D14" s="531"/>
      <c r="E14" s="531"/>
      <c r="F14" s="531"/>
      <c r="G14" s="531"/>
      <c r="H14" s="531"/>
      <c r="I14" s="531"/>
      <c r="J14" s="531"/>
      <c r="K14" s="531"/>
      <c r="L14" s="531"/>
      <c r="M14" s="532"/>
    </row>
    <row r="15" spans="1:18" x14ac:dyDescent="0.3">
      <c r="A15" s="530" t="s">
        <v>705</v>
      </c>
      <c r="B15" s="433"/>
      <c r="C15" s="531"/>
      <c r="D15" s="531"/>
      <c r="E15" s="531"/>
      <c r="F15" s="531"/>
      <c r="G15" s="531"/>
      <c r="H15" s="531"/>
      <c r="I15" s="531"/>
      <c r="J15" s="531"/>
      <c r="K15" s="531"/>
      <c r="L15" s="531"/>
      <c r="M15" s="532"/>
    </row>
    <row r="16" spans="1:18" x14ac:dyDescent="0.3">
      <c r="A16" s="530" t="s">
        <v>705</v>
      </c>
      <c r="B16" s="433"/>
      <c r="C16" s="531"/>
      <c r="D16" s="531"/>
      <c r="E16" s="531"/>
      <c r="F16" s="531"/>
      <c r="G16" s="531"/>
      <c r="H16" s="531"/>
      <c r="I16" s="531"/>
      <c r="J16" s="531"/>
      <c r="K16" s="531"/>
      <c r="L16" s="531"/>
      <c r="M16" s="532"/>
    </row>
    <row r="17" spans="1:21" ht="15" thickBot="1" x14ac:dyDescent="0.35">
      <c r="A17" s="536" t="s">
        <v>705</v>
      </c>
      <c r="B17" s="537"/>
      <c r="C17" s="538"/>
      <c r="D17" s="538"/>
      <c r="E17" s="538"/>
      <c r="F17" s="538"/>
      <c r="G17" s="538"/>
      <c r="H17" s="538"/>
      <c r="I17" s="538"/>
      <c r="J17" s="538"/>
      <c r="K17" s="538"/>
      <c r="L17" s="538"/>
      <c r="M17" s="539"/>
    </row>
    <row r="18" spans="1:21" ht="15" thickBot="1" x14ac:dyDescent="0.35"/>
    <row r="19" spans="1:21" ht="18.600000000000001" thickBot="1" x14ac:dyDescent="0.4">
      <c r="A19" s="540" t="s">
        <v>706</v>
      </c>
      <c r="B19" s="541"/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2"/>
    </row>
    <row r="20" spans="1:21" ht="15" thickBot="1" x14ac:dyDescent="0.35">
      <c r="A20" s="543"/>
      <c r="B20" s="544" t="s">
        <v>16</v>
      </c>
      <c r="C20" s="545" t="s">
        <v>0</v>
      </c>
      <c r="D20" s="545" t="s">
        <v>1</v>
      </c>
      <c r="E20" s="545" t="s">
        <v>2</v>
      </c>
      <c r="F20" s="545" t="s">
        <v>3</v>
      </c>
      <c r="G20" s="545" t="s">
        <v>4</v>
      </c>
      <c r="H20" s="545" t="s">
        <v>5</v>
      </c>
      <c r="I20" s="545" t="s">
        <v>6</v>
      </c>
      <c r="J20" s="545" t="s">
        <v>7</v>
      </c>
      <c r="K20" s="545" t="s">
        <v>8</v>
      </c>
      <c r="L20" s="545" t="s">
        <v>9</v>
      </c>
      <c r="M20" s="546" t="s">
        <v>10</v>
      </c>
    </row>
    <row r="21" spans="1:21" x14ac:dyDescent="0.3">
      <c r="A21" s="547" t="s">
        <v>707</v>
      </c>
      <c r="B21" s="548">
        <v>0.12</v>
      </c>
      <c r="C21" s="549">
        <v>0.12</v>
      </c>
      <c r="D21" s="549">
        <v>0.12</v>
      </c>
      <c r="E21" s="549">
        <v>0.12</v>
      </c>
      <c r="F21" s="549">
        <v>0.12</v>
      </c>
      <c r="G21" s="549">
        <v>0.12</v>
      </c>
      <c r="H21" s="549">
        <v>0.12</v>
      </c>
      <c r="I21" s="549">
        <v>0.12</v>
      </c>
      <c r="J21" s="549">
        <v>0.12</v>
      </c>
      <c r="K21" s="549">
        <v>0.12</v>
      </c>
      <c r="L21" s="549">
        <v>0.12</v>
      </c>
      <c r="M21" s="550">
        <v>0.12</v>
      </c>
    </row>
    <row r="22" spans="1:21" x14ac:dyDescent="0.3">
      <c r="A22" s="530" t="s">
        <v>708</v>
      </c>
      <c r="B22" s="533">
        <v>0.1</v>
      </c>
      <c r="C22" s="534">
        <v>0.1</v>
      </c>
      <c r="D22" s="534">
        <v>0.1</v>
      </c>
      <c r="E22" s="534">
        <v>0.1</v>
      </c>
      <c r="F22" s="534">
        <v>0.1</v>
      </c>
      <c r="G22" s="534">
        <v>0.1</v>
      </c>
      <c r="H22" s="534">
        <v>0.1</v>
      </c>
      <c r="I22" s="534">
        <v>0.1</v>
      </c>
      <c r="J22" s="534">
        <v>0.1</v>
      </c>
      <c r="K22" s="534">
        <v>0.1</v>
      </c>
      <c r="L22" s="534">
        <v>0.1</v>
      </c>
      <c r="M22" s="535">
        <v>0.1</v>
      </c>
    </row>
    <row r="23" spans="1:21" x14ac:dyDescent="0.3">
      <c r="A23" s="530" t="s">
        <v>709</v>
      </c>
      <c r="B23" s="533">
        <v>0.83</v>
      </c>
      <c r="C23" s="533">
        <v>0.83</v>
      </c>
      <c r="D23" s="533">
        <v>0.83</v>
      </c>
      <c r="E23" s="533">
        <v>0.83</v>
      </c>
      <c r="F23" s="533">
        <v>0.83</v>
      </c>
      <c r="G23" s="533">
        <v>0.83</v>
      </c>
      <c r="H23" s="533">
        <v>0.83</v>
      </c>
      <c r="I23" s="533">
        <v>0.83</v>
      </c>
      <c r="J23" s="533">
        <v>0.83</v>
      </c>
      <c r="K23" s="533">
        <v>0.83</v>
      </c>
      <c r="L23" s="533">
        <v>0.83</v>
      </c>
      <c r="M23" s="533">
        <v>0.83</v>
      </c>
    </row>
    <row r="24" spans="1:21" x14ac:dyDescent="0.3">
      <c r="A24" s="530" t="s">
        <v>710</v>
      </c>
      <c r="B24" s="533">
        <v>1.49</v>
      </c>
      <c r="C24" s="534">
        <v>1.49</v>
      </c>
      <c r="D24" s="534">
        <v>1.49</v>
      </c>
      <c r="E24" s="534">
        <v>1.49</v>
      </c>
      <c r="F24" s="534">
        <v>1.49</v>
      </c>
      <c r="G24" s="534">
        <v>1.49</v>
      </c>
      <c r="H24" s="534">
        <v>1.49</v>
      </c>
      <c r="I24" s="534">
        <v>1.49</v>
      </c>
      <c r="J24" s="534">
        <v>1.49</v>
      </c>
      <c r="K24" s="534">
        <v>1.49</v>
      </c>
      <c r="L24" s="534">
        <v>1.49</v>
      </c>
      <c r="M24" s="535">
        <v>1.49</v>
      </c>
    </row>
    <row r="25" spans="1:21" x14ac:dyDescent="0.3">
      <c r="A25" s="530" t="s">
        <v>711</v>
      </c>
      <c r="B25" s="533">
        <v>1.3</v>
      </c>
      <c r="C25" s="534">
        <v>1.3</v>
      </c>
      <c r="D25" s="534">
        <v>1.3</v>
      </c>
      <c r="E25" s="534">
        <v>1.3</v>
      </c>
      <c r="F25" s="534">
        <v>1.3</v>
      </c>
      <c r="G25" s="534">
        <v>1.3</v>
      </c>
      <c r="H25" s="534">
        <v>1.3</v>
      </c>
      <c r="I25" s="534">
        <v>1.3</v>
      </c>
      <c r="J25" s="534">
        <v>1.3</v>
      </c>
      <c r="K25" s="534">
        <v>1.3</v>
      </c>
      <c r="L25" s="534">
        <v>1.3</v>
      </c>
      <c r="M25" s="535">
        <v>1.3</v>
      </c>
    </row>
    <row r="26" spans="1:21" x14ac:dyDescent="0.3">
      <c r="A26" s="530" t="s">
        <v>712</v>
      </c>
      <c r="B26" s="533">
        <v>0.7</v>
      </c>
      <c r="C26" s="534">
        <v>0.7</v>
      </c>
      <c r="D26" s="534">
        <v>0.7</v>
      </c>
      <c r="E26" s="534">
        <v>0.7</v>
      </c>
      <c r="F26" s="534">
        <v>0.7</v>
      </c>
      <c r="G26" s="534">
        <v>0.7</v>
      </c>
      <c r="H26" s="534">
        <v>0.7</v>
      </c>
      <c r="I26" s="534">
        <v>0.7</v>
      </c>
      <c r="J26" s="534">
        <v>0.7</v>
      </c>
      <c r="K26" s="534">
        <v>0.7</v>
      </c>
      <c r="L26" s="534">
        <v>0.7</v>
      </c>
      <c r="M26" s="535">
        <v>0.7</v>
      </c>
      <c r="U26">
        <f>400/300</f>
        <v>1.3333333333333333</v>
      </c>
    </row>
    <row r="27" spans="1:21" x14ac:dyDescent="0.3">
      <c r="A27" s="530" t="s">
        <v>713</v>
      </c>
      <c r="B27" s="533">
        <v>0.66</v>
      </c>
      <c r="C27" s="534">
        <v>0.66</v>
      </c>
      <c r="D27" s="534">
        <v>0.66</v>
      </c>
      <c r="E27" s="534">
        <v>0.66</v>
      </c>
      <c r="F27" s="534">
        <v>0.66</v>
      </c>
      <c r="G27" s="534">
        <v>0.66</v>
      </c>
      <c r="H27" s="534">
        <v>0.66</v>
      </c>
      <c r="I27" s="534">
        <v>0.66</v>
      </c>
      <c r="J27" s="534">
        <v>0.66</v>
      </c>
      <c r="K27" s="534">
        <v>0.66</v>
      </c>
      <c r="L27" s="534">
        <v>0.66</v>
      </c>
      <c r="M27" s="535">
        <v>0.66</v>
      </c>
    </row>
    <row r="28" spans="1:21" x14ac:dyDescent="0.3">
      <c r="A28" s="530" t="s">
        <v>714</v>
      </c>
      <c r="B28" s="533">
        <v>0.2</v>
      </c>
      <c r="C28" s="534">
        <v>0.2</v>
      </c>
      <c r="D28" s="534">
        <v>0.2</v>
      </c>
      <c r="E28" s="534">
        <v>0.2</v>
      </c>
      <c r="F28" s="534">
        <v>0.2</v>
      </c>
      <c r="G28" s="534">
        <v>0.2</v>
      </c>
      <c r="H28" s="534">
        <v>0.2</v>
      </c>
      <c r="I28" s="534">
        <v>0.2</v>
      </c>
      <c r="J28" s="534">
        <v>0.2</v>
      </c>
      <c r="K28" s="534">
        <v>0.2</v>
      </c>
      <c r="L28" s="534">
        <v>0.2</v>
      </c>
      <c r="M28" s="535">
        <v>0.2</v>
      </c>
    </row>
    <row r="29" spans="1:21" x14ac:dyDescent="0.3">
      <c r="A29" s="530" t="s">
        <v>715</v>
      </c>
      <c r="B29" s="533">
        <v>50</v>
      </c>
      <c r="C29" s="534">
        <v>50</v>
      </c>
      <c r="D29" s="534">
        <v>50</v>
      </c>
      <c r="E29" s="534">
        <v>50</v>
      </c>
      <c r="F29" s="534">
        <v>50</v>
      </c>
      <c r="G29" s="534">
        <v>50</v>
      </c>
      <c r="H29" s="534">
        <v>50</v>
      </c>
      <c r="I29" s="534">
        <v>50</v>
      </c>
      <c r="J29" s="534">
        <v>50</v>
      </c>
      <c r="K29" s="534">
        <v>50</v>
      </c>
      <c r="L29" s="534">
        <v>50</v>
      </c>
      <c r="M29" s="535">
        <v>50</v>
      </c>
    </row>
    <row r="30" spans="1:21" x14ac:dyDescent="0.3">
      <c r="A30" s="530" t="s">
        <v>716</v>
      </c>
      <c r="B30" s="533">
        <v>6</v>
      </c>
      <c r="C30" s="534">
        <v>6</v>
      </c>
      <c r="D30" s="534">
        <v>6</v>
      </c>
      <c r="E30" s="534">
        <v>6</v>
      </c>
      <c r="F30" s="534">
        <v>6</v>
      </c>
      <c r="G30" s="534">
        <v>6</v>
      </c>
      <c r="H30" s="534">
        <v>6</v>
      </c>
      <c r="I30" s="534">
        <v>6</v>
      </c>
      <c r="J30" s="534">
        <v>6</v>
      </c>
      <c r="K30" s="534">
        <v>6</v>
      </c>
      <c r="L30" s="534">
        <v>6</v>
      </c>
      <c r="M30" s="535">
        <v>6</v>
      </c>
    </row>
    <row r="31" spans="1:21" x14ac:dyDescent="0.3">
      <c r="A31" s="530" t="s">
        <v>717</v>
      </c>
      <c r="B31" s="433">
        <v>0.93</v>
      </c>
      <c r="C31" s="433">
        <v>0.93</v>
      </c>
      <c r="D31" s="433">
        <v>0.93</v>
      </c>
      <c r="E31" s="433">
        <v>0.93</v>
      </c>
      <c r="F31" s="433">
        <v>0.93</v>
      </c>
      <c r="G31" s="433">
        <v>0.93</v>
      </c>
      <c r="H31" s="433">
        <v>0.93</v>
      </c>
      <c r="I31" s="433">
        <v>0.93</v>
      </c>
      <c r="J31" s="433">
        <v>0.93</v>
      </c>
      <c r="K31" s="433">
        <v>0.93</v>
      </c>
      <c r="L31" s="433">
        <v>0.93</v>
      </c>
      <c r="M31" s="433">
        <v>0.93</v>
      </c>
    </row>
    <row r="32" spans="1:21" x14ac:dyDescent="0.3">
      <c r="A32" s="530" t="s">
        <v>705</v>
      </c>
      <c r="B32" s="433"/>
      <c r="C32" s="433"/>
      <c r="D32" s="433"/>
      <c r="E32" s="433"/>
      <c r="F32" s="433"/>
      <c r="G32" s="433"/>
      <c r="H32" s="433"/>
      <c r="I32" s="433"/>
      <c r="J32" s="433"/>
      <c r="K32" s="433"/>
      <c r="L32" s="433"/>
      <c r="M32" s="433"/>
    </row>
    <row r="33" spans="1:13" x14ac:dyDescent="0.3">
      <c r="A33" s="530" t="s">
        <v>705</v>
      </c>
      <c r="B33" s="433"/>
      <c r="C33" s="531"/>
      <c r="D33" s="531"/>
      <c r="E33" s="531"/>
      <c r="F33" s="531"/>
      <c r="G33" s="531"/>
      <c r="H33" s="531"/>
      <c r="I33" s="531"/>
      <c r="J33" s="531"/>
      <c r="K33" s="531"/>
      <c r="L33" s="531"/>
      <c r="M33" s="532"/>
    </row>
    <row r="34" spans="1:13" x14ac:dyDescent="0.3">
      <c r="A34" s="530" t="s">
        <v>705</v>
      </c>
      <c r="B34" s="433"/>
      <c r="C34" s="531"/>
      <c r="D34" s="531"/>
      <c r="E34" s="531"/>
      <c r="F34" s="531"/>
      <c r="G34" s="531"/>
      <c r="H34" s="531"/>
      <c r="I34" s="531"/>
      <c r="J34" s="531"/>
      <c r="K34" s="531"/>
      <c r="L34" s="531"/>
      <c r="M34" s="532"/>
    </row>
    <row r="35" spans="1:13" x14ac:dyDescent="0.3">
      <c r="A35" s="530" t="s">
        <v>705</v>
      </c>
      <c r="B35" s="433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2"/>
    </row>
    <row r="36" spans="1:13" ht="15" thickBot="1" x14ac:dyDescent="0.35">
      <c r="A36" s="536" t="s">
        <v>705</v>
      </c>
      <c r="B36" s="537"/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9"/>
    </row>
    <row r="37" spans="1:13" ht="15" thickBot="1" x14ac:dyDescent="0.35"/>
    <row r="38" spans="1:13" ht="18.600000000000001" thickBot="1" x14ac:dyDescent="0.4">
      <c r="A38" s="551" t="s">
        <v>718</v>
      </c>
      <c r="B38" s="552"/>
      <c r="C38" s="552"/>
      <c r="D38" s="552"/>
      <c r="E38" s="552"/>
      <c r="F38" s="552"/>
      <c r="G38" s="552"/>
      <c r="H38" s="552"/>
      <c r="I38" s="552"/>
      <c r="J38" s="552"/>
      <c r="K38" s="552"/>
      <c r="L38" s="552"/>
      <c r="M38" s="553"/>
    </row>
    <row r="39" spans="1:13" ht="15" thickBot="1" x14ac:dyDescent="0.35">
      <c r="A39" s="500"/>
      <c r="B39" s="526" t="s">
        <v>16</v>
      </c>
      <c r="C39" s="527" t="s">
        <v>0</v>
      </c>
      <c r="D39" s="527" t="s">
        <v>1</v>
      </c>
      <c r="E39" s="527" t="s">
        <v>2</v>
      </c>
      <c r="F39" s="527" t="s">
        <v>3</v>
      </c>
      <c r="G39" s="527" t="s">
        <v>4</v>
      </c>
      <c r="H39" s="527" t="s">
        <v>5</v>
      </c>
      <c r="I39" s="527" t="s">
        <v>6</v>
      </c>
      <c r="J39" s="527" t="s">
        <v>7</v>
      </c>
      <c r="K39" s="527" t="s">
        <v>8</v>
      </c>
      <c r="L39" s="527" t="s">
        <v>9</v>
      </c>
      <c r="M39" s="528" t="s">
        <v>10</v>
      </c>
    </row>
    <row r="40" spans="1:13" x14ac:dyDescent="0.3">
      <c r="A40" s="529" t="s">
        <v>719</v>
      </c>
      <c r="B40" s="435">
        <v>10</v>
      </c>
      <c r="C40" s="435">
        <v>10</v>
      </c>
      <c r="D40" s="435">
        <v>10</v>
      </c>
      <c r="E40" s="435">
        <v>10</v>
      </c>
      <c r="F40" s="435">
        <v>10</v>
      </c>
      <c r="G40" s="435">
        <v>10</v>
      </c>
      <c r="H40" s="435">
        <v>10</v>
      </c>
      <c r="I40" s="435">
        <v>10</v>
      </c>
      <c r="J40" s="435">
        <v>10</v>
      </c>
      <c r="K40" s="435">
        <v>10</v>
      </c>
      <c r="L40" s="435">
        <v>10</v>
      </c>
      <c r="M40" s="435">
        <v>20</v>
      </c>
    </row>
    <row r="41" spans="1:13" x14ac:dyDescent="0.3">
      <c r="A41" s="530" t="s">
        <v>17</v>
      </c>
      <c r="B41" s="433">
        <v>10</v>
      </c>
      <c r="C41" s="433">
        <v>10</v>
      </c>
      <c r="D41" s="433">
        <v>10</v>
      </c>
      <c r="E41" s="433">
        <v>10</v>
      </c>
      <c r="F41" s="433">
        <v>10</v>
      </c>
      <c r="G41" s="433">
        <v>10</v>
      </c>
      <c r="H41" s="433">
        <v>10</v>
      </c>
      <c r="I41" s="433">
        <v>10</v>
      </c>
      <c r="J41" s="433">
        <v>10</v>
      </c>
      <c r="K41" s="433">
        <v>10</v>
      </c>
      <c r="L41" s="433">
        <v>10</v>
      </c>
      <c r="M41" s="433">
        <v>20</v>
      </c>
    </row>
    <row r="42" spans="1:13" x14ac:dyDescent="0.3">
      <c r="A42" s="530" t="s">
        <v>720</v>
      </c>
      <c r="B42" s="433">
        <v>6</v>
      </c>
      <c r="C42" s="433">
        <v>6</v>
      </c>
      <c r="D42" s="433">
        <v>6</v>
      </c>
      <c r="E42" s="433">
        <v>6</v>
      </c>
      <c r="F42" s="433">
        <v>6</v>
      </c>
      <c r="G42" s="433">
        <v>6</v>
      </c>
      <c r="H42" s="433">
        <v>6</v>
      </c>
      <c r="I42" s="433">
        <v>6</v>
      </c>
      <c r="J42" s="433">
        <v>6</v>
      </c>
      <c r="K42" s="433">
        <v>6</v>
      </c>
      <c r="L42" s="433">
        <v>6</v>
      </c>
      <c r="M42" s="433">
        <v>12</v>
      </c>
    </row>
    <row r="43" spans="1:13" x14ac:dyDescent="0.3">
      <c r="A43" s="530" t="s">
        <v>721</v>
      </c>
      <c r="B43" s="433">
        <v>8</v>
      </c>
      <c r="C43" s="433">
        <v>8</v>
      </c>
      <c r="D43" s="433">
        <v>8</v>
      </c>
      <c r="E43" s="433">
        <v>8</v>
      </c>
      <c r="F43" s="433">
        <v>8</v>
      </c>
      <c r="G43" s="433">
        <v>8</v>
      </c>
      <c r="H43" s="433">
        <v>8</v>
      </c>
      <c r="I43" s="433">
        <v>8</v>
      </c>
      <c r="J43" s="433">
        <v>8</v>
      </c>
      <c r="K43" s="433">
        <v>8</v>
      </c>
      <c r="L43" s="433">
        <v>8</v>
      </c>
      <c r="M43" s="433">
        <v>16</v>
      </c>
    </row>
    <row r="44" spans="1:13" x14ac:dyDescent="0.3">
      <c r="A44" s="530" t="s">
        <v>722</v>
      </c>
      <c r="B44" s="433">
        <v>5</v>
      </c>
      <c r="C44" s="433">
        <v>5</v>
      </c>
      <c r="D44" s="433">
        <v>5</v>
      </c>
      <c r="E44" s="433">
        <v>5</v>
      </c>
      <c r="F44" s="433">
        <v>5</v>
      </c>
      <c r="G44" s="433">
        <v>5</v>
      </c>
      <c r="H44" s="433">
        <v>5</v>
      </c>
      <c r="I44" s="433">
        <v>5</v>
      </c>
      <c r="J44" s="433">
        <v>5</v>
      </c>
      <c r="K44" s="433">
        <v>5</v>
      </c>
      <c r="L44" s="433">
        <v>5</v>
      </c>
      <c r="M44" s="433">
        <v>10</v>
      </c>
    </row>
    <row r="45" spans="1:13" x14ac:dyDescent="0.3">
      <c r="A45" s="530" t="s">
        <v>723</v>
      </c>
      <c r="B45" s="433">
        <v>5</v>
      </c>
      <c r="C45" s="433">
        <v>5</v>
      </c>
      <c r="D45" s="433">
        <v>5</v>
      </c>
      <c r="E45" s="433">
        <v>5</v>
      </c>
      <c r="F45" s="433">
        <v>5</v>
      </c>
      <c r="G45" s="433">
        <v>5</v>
      </c>
      <c r="H45" s="433">
        <v>5</v>
      </c>
      <c r="I45" s="433">
        <v>5</v>
      </c>
      <c r="J45" s="433">
        <v>5</v>
      </c>
      <c r="K45" s="433">
        <v>5</v>
      </c>
      <c r="L45" s="433">
        <v>5</v>
      </c>
      <c r="M45" s="433">
        <v>10</v>
      </c>
    </row>
    <row r="46" spans="1:13" x14ac:dyDescent="0.3">
      <c r="A46" s="530" t="s">
        <v>724</v>
      </c>
      <c r="B46" s="433">
        <v>5</v>
      </c>
      <c r="C46" s="433">
        <v>5</v>
      </c>
      <c r="D46" s="433">
        <v>5</v>
      </c>
      <c r="E46" s="433">
        <v>5</v>
      </c>
      <c r="F46" s="433">
        <v>5</v>
      </c>
      <c r="G46" s="433">
        <v>5</v>
      </c>
      <c r="H46" s="433">
        <v>5</v>
      </c>
      <c r="I46" s="433">
        <v>5</v>
      </c>
      <c r="J46" s="433">
        <v>5</v>
      </c>
      <c r="K46" s="433">
        <v>5</v>
      </c>
      <c r="L46" s="433">
        <v>5</v>
      </c>
      <c r="M46" s="433">
        <v>10</v>
      </c>
    </row>
    <row r="47" spans="1:13" x14ac:dyDescent="0.3">
      <c r="A47" s="530" t="s">
        <v>705</v>
      </c>
      <c r="B47" s="433"/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2"/>
    </row>
    <row r="48" spans="1:13" x14ac:dyDescent="0.3">
      <c r="A48" s="530" t="s">
        <v>705</v>
      </c>
      <c r="B48" s="433"/>
      <c r="C48" s="531"/>
      <c r="D48" s="531"/>
      <c r="E48" s="531"/>
      <c r="F48" s="531"/>
      <c r="G48" s="531"/>
      <c r="H48" s="531"/>
      <c r="I48" s="531"/>
      <c r="J48" s="531"/>
      <c r="K48" s="531"/>
      <c r="L48" s="531"/>
      <c r="M48" s="532"/>
    </row>
    <row r="49" spans="1:13" x14ac:dyDescent="0.3">
      <c r="A49" s="530" t="s">
        <v>705</v>
      </c>
      <c r="B49" s="433"/>
      <c r="C49" s="531"/>
      <c r="D49" s="531"/>
      <c r="E49" s="531"/>
      <c r="F49" s="531"/>
      <c r="G49" s="531"/>
      <c r="H49" s="531"/>
      <c r="I49" s="531"/>
      <c r="J49" s="531"/>
      <c r="K49" s="531"/>
      <c r="L49" s="531"/>
      <c r="M49" s="532"/>
    </row>
    <row r="50" spans="1:13" x14ac:dyDescent="0.3">
      <c r="A50" s="530" t="s">
        <v>705</v>
      </c>
      <c r="B50" s="433"/>
      <c r="C50" s="531"/>
      <c r="D50" s="531"/>
      <c r="E50" s="531"/>
      <c r="F50" s="531"/>
      <c r="G50" s="531"/>
      <c r="H50" s="531"/>
      <c r="I50" s="531"/>
      <c r="J50" s="531"/>
      <c r="K50" s="531"/>
      <c r="L50" s="531"/>
      <c r="M50" s="532"/>
    </row>
    <row r="51" spans="1:13" x14ac:dyDescent="0.3">
      <c r="A51" s="530" t="s">
        <v>705</v>
      </c>
      <c r="B51" s="433"/>
      <c r="C51" s="531"/>
      <c r="D51" s="531"/>
      <c r="E51" s="531"/>
      <c r="F51" s="531"/>
      <c r="G51" s="531"/>
      <c r="H51" s="531"/>
      <c r="I51" s="531"/>
      <c r="J51" s="531"/>
      <c r="K51" s="531"/>
      <c r="L51" s="531"/>
      <c r="M51" s="532"/>
    </row>
    <row r="52" spans="1:13" x14ac:dyDescent="0.3">
      <c r="A52" s="530" t="s">
        <v>705</v>
      </c>
      <c r="B52" s="433"/>
      <c r="C52" s="531"/>
      <c r="D52" s="531"/>
      <c r="E52" s="531"/>
      <c r="F52" s="531"/>
      <c r="G52" s="531"/>
      <c r="H52" s="531"/>
      <c r="I52" s="531"/>
      <c r="J52" s="531"/>
      <c r="K52" s="531"/>
      <c r="L52" s="531"/>
      <c r="M52" s="532"/>
    </row>
    <row r="53" spans="1:13" x14ac:dyDescent="0.3">
      <c r="A53" s="530" t="s">
        <v>705</v>
      </c>
      <c r="B53" s="433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2"/>
    </row>
    <row r="54" spans="1:13" x14ac:dyDescent="0.3">
      <c r="A54" s="530" t="s">
        <v>705</v>
      </c>
      <c r="B54" s="433"/>
      <c r="C54" s="531"/>
      <c r="D54" s="531"/>
      <c r="E54" s="531"/>
      <c r="F54" s="531"/>
      <c r="G54" s="531"/>
      <c r="H54" s="531"/>
      <c r="I54" s="531"/>
      <c r="J54" s="531"/>
      <c r="K54" s="531"/>
      <c r="L54" s="531"/>
      <c r="M54" s="532"/>
    </row>
    <row r="55" spans="1:13" x14ac:dyDescent="0.3">
      <c r="A55" s="530" t="s">
        <v>705</v>
      </c>
      <c r="B55" s="433"/>
      <c r="C55" s="531"/>
      <c r="D55" s="531"/>
      <c r="E55" s="531"/>
      <c r="F55" s="531"/>
      <c r="G55" s="531"/>
      <c r="H55" s="531"/>
      <c r="I55" s="531"/>
      <c r="J55" s="531"/>
      <c r="K55" s="531"/>
      <c r="L55" s="531"/>
      <c r="M55" s="532"/>
    </row>
    <row r="56" spans="1:13" ht="15" thickBot="1" x14ac:dyDescent="0.35">
      <c r="A56" s="536" t="s">
        <v>705</v>
      </c>
      <c r="B56" s="537"/>
      <c r="C56" s="538"/>
      <c r="D56" s="538"/>
      <c r="E56" s="538"/>
      <c r="F56" s="538"/>
      <c r="G56" s="538"/>
      <c r="H56" s="538"/>
      <c r="I56" s="538"/>
      <c r="J56" s="538"/>
      <c r="K56" s="538"/>
      <c r="L56" s="538"/>
      <c r="M56" s="5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Budget by Code</vt:lpstr>
      <vt:lpstr>Cost Codes INUNWA</vt:lpstr>
      <vt:lpstr>Stock Numbers</vt:lpstr>
      <vt:lpstr>HERD FEED COSTS</vt:lpstr>
      <vt:lpstr>VET &amp; MED Costs</vt:lpstr>
      <vt:lpstr>REVENUE ASSUMPTIONS</vt:lpstr>
      <vt:lpstr>LABOUR</vt:lpstr>
      <vt:lpstr>Inputs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Rowan Hayter</dc:creator>
  <cp:lastModifiedBy>Rowan Hayter</cp:lastModifiedBy>
  <dcterms:created xsi:type="dcterms:W3CDTF">2020-04-19T12:11:12Z</dcterms:created>
  <dcterms:modified xsi:type="dcterms:W3CDTF">2026-09-16T08:10:13Z</dcterms:modified>
</cp:coreProperties>
</file>